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48" activeTab="0"/>
  </bookViews>
  <sheets>
    <sheet name="RESUMO" sheetId="1" r:id="rId1"/>
    <sheet name="Item 01" sheetId="2" r:id="rId2"/>
    <sheet name="Item 02" sheetId="3" r:id="rId3"/>
    <sheet name="Item 03" sheetId="4" r:id="rId4"/>
    <sheet name="Item 04" sheetId="5" r:id="rId5"/>
    <sheet name="Item 05" sheetId="6" r:id="rId6"/>
    <sheet name="Item 06" sheetId="7" r:id="rId7"/>
    <sheet name="Uniformes" sheetId="8" r:id="rId8"/>
    <sheet name="Transp Altern" sheetId="9" r:id="rId9"/>
    <sheet name="Custos Indiretos e Lucro" sheetId="10" r:id="rId10"/>
  </sheets>
  <definedNames>
    <definedName name="_xlnm.Print_Area_1" localSheetId="1">'Item 01'!$A$1:$E$142</definedName>
    <definedName name="_xlnm.Print_Area_1" localSheetId="2">'Item 02'!$A$1:$E$142</definedName>
    <definedName name="_xlnm.Print_Area_1" localSheetId="3">'Item 03'!$A$1:$E$142</definedName>
    <definedName name="_xlnm.Print_Area_1" localSheetId="4">'Item 04'!$A$1:$E$142</definedName>
    <definedName name="_xlnm.Print_Area_1" localSheetId="5">'Item 05'!$A$1:$E$142</definedName>
    <definedName name="_xlnm.Print_Area_1" localSheetId="6">'Item 06'!$A$1:$E$142</definedName>
    <definedName name="_xlnm.Print_Area_1" localSheetId="0">'RESUMO'!$A$1:$D$62</definedName>
    <definedName name="_xlnm.Print_Area_1">#REF!</definedName>
    <definedName name="_xlnm.Print_Area_2">#REF!</definedName>
    <definedName name="_xlnm.Print_Area_3">#REF!</definedName>
    <definedName name="_xlnm.Print_Area" localSheetId="9">'Custos Indiretos e Lucro'!$A$1:$E$4</definedName>
    <definedName name="_xlnm.Print_Area" localSheetId="1">'Item 01'!$B$1:$E$126</definedName>
    <definedName name="_xlnm.Print_Area" localSheetId="2">'Item 02'!$B$1:$E$126</definedName>
    <definedName name="_xlnm.Print_Area" localSheetId="3">'Item 03'!$B$1:$E$126</definedName>
    <definedName name="_xlnm.Print_Area" localSheetId="4">'Item 04'!$B$1:$E$126</definedName>
    <definedName name="_xlnm.Print_Area" localSheetId="5">'Item 05'!$B$1:$E$126</definedName>
    <definedName name="_xlnm.Print_Area" localSheetId="6">'Item 06'!$B$1:$E$126</definedName>
    <definedName name="_xlnm.Print_Area" localSheetId="0">'RESUMO'!$B$1:$H$9</definedName>
    <definedName name="_xlnm.Print_Area" localSheetId="8">'Transp Altern'!$A$1:$H$4</definedName>
    <definedName name="_xlnm.Print_Area" localSheetId="7">'Uniformes'!$A$1:$H$12</definedName>
    <definedName name="Excel_BuiltIn_Print_Area_1">#N/A</definedName>
    <definedName name="Excel_BuiltIn_Print_Area_1_2">#N/A</definedName>
    <definedName name="Excel_BuiltIn_Print_Area_2">#N/A</definedName>
    <definedName name="Excel_BuiltIn_Print_Area_2_2">#N/A</definedName>
    <definedName name="Teste">#N/A</definedName>
  </definedNames>
  <calcPr fullCalcOnLoad="1"/>
</workbook>
</file>

<file path=xl/comments2.xml><?xml version="1.0" encoding="utf-8"?>
<comments xmlns="http://schemas.openxmlformats.org/spreadsheetml/2006/main">
  <authors>
    <author/>
    <author>Fabr?cio Geraldo dos Santos Rodrigues</author>
  </authors>
  <commentList>
    <comment ref="C11" authorId="0">
      <text>
        <r>
          <rPr>
            <sz val="10"/>
            <rFont val="Arial"/>
            <family val="2"/>
          </rPr>
          <t>SEG - SEX: Dias trabalhados = 30,42 dias/mês * (5 dias (seg-sex) / 7 dias por semana) - [12 feriados * (probabilidade de não coincidir com domingo 5/7) / 12 meses] = 21,01 dias/mês</t>
        </r>
      </text>
    </comment>
    <comment ref="C19" authorId="0">
      <text>
        <r>
          <rPr>
            <sz val="10"/>
            <rFont val="Arial"/>
            <family val="2"/>
          </rPr>
          <t>2ª Faixa Salarial CCT 2017. Considerando que a Jornada de trabalho será de 40 horas, e que a CCT disciplina uma jornada de 44 horas, é necessário realizar a conversão do salário base de 44 horas para 40 horas, conforme memória de cálculo abaixo:
Salário base = (salário da CCT / 44) * 40</t>
        </r>
      </text>
    </comment>
    <comment ref="C20" authorId="0">
      <text>
        <r>
          <rPr>
            <sz val="10"/>
            <rFont val="Arial"/>
            <family val="2"/>
          </rPr>
          <t>Não se aplica</t>
        </r>
      </text>
    </comment>
    <comment ref="C21" authorId="0">
      <text>
        <r>
          <rPr>
            <sz val="10"/>
            <rFont val="Arial"/>
            <family val="2"/>
          </rPr>
          <t>Não se aplica</t>
        </r>
      </text>
    </comment>
    <comment ref="C22" authorId="0">
      <text>
        <r>
          <rPr>
            <sz val="10"/>
            <rFont val="Arial"/>
            <family val="2"/>
          </rPr>
          <t>Não se aplica.</t>
        </r>
      </text>
    </comment>
    <comment ref="C23" authorId="0">
      <text>
        <r>
          <rPr>
            <sz val="10"/>
            <rFont val="Arial"/>
            <family val="2"/>
          </rPr>
          <t>Não se aplica</t>
        </r>
      </text>
    </comment>
    <comment ref="C24" authorId="0">
      <text>
        <r>
          <rPr>
            <sz val="10"/>
            <rFont val="Arial"/>
            <family val="2"/>
          </rPr>
          <t xml:space="preserve">Jornada dos funcionários acompanha os dias úteis da instituição onde trabalha. </t>
        </r>
      </text>
    </comment>
    <comment ref="C25" authorId="0">
      <text>
        <r>
          <rPr>
            <sz val="10"/>
            <rFont val="Arial"/>
            <family val="2"/>
          </rPr>
          <t>Não se aplica</t>
        </r>
      </text>
    </comment>
    <comment ref="C26" authorId="0">
      <text>
        <r>
          <rPr>
            <sz val="10"/>
            <rFont val="Arial"/>
            <family val="2"/>
          </rPr>
          <t>Gratificação por Assiduidade prevista na 2ª Faixa Salarial da CCT 2017. Considerando que a Jornada de trabalho será de 40 horas, e que a CCT disciplina uma jornada de 44 horas, é necessário realizar a conversão da gratificação de assiduidade de 44 horas para 40 horas, conforme memória de cálculo abaixo:
Gratificação de assiduidade = (gratificação da CCT / 44) * 40</t>
        </r>
      </text>
    </comment>
    <comment ref="C31" authorId="0">
      <text>
        <r>
          <rPr>
            <sz val="10"/>
            <rFont val="Arial"/>
            <family val="2"/>
          </rPr>
          <t>Memória de Cálculo: (Valor de uma passagem) * 2/dia * Qtde dias trabalhados/mês) - (Salario Base * 6%)</t>
        </r>
      </text>
    </comment>
    <comment ref="C32" authorId="0">
      <text>
        <r>
          <rPr>
            <sz val="10"/>
            <rFont val="Arial"/>
            <family val="2"/>
          </rPr>
          <t>CCT 2017 (12ª §1º) define R$ 14,00/dia com possibilidade de descontar até 20% desse valor como contribuição do funcionário (§3º, regra do PAT). 
Cálculo: (R$ 14,00 - 20%) * 21,01 dias (Dias trabalhados no mês de segunda a sexta)</t>
        </r>
      </text>
    </comment>
    <comment ref="C33" authorId="0">
      <text>
        <r>
          <rPr>
            <sz val="10"/>
            <rFont val="Arial"/>
            <family val="2"/>
          </rPr>
          <t>Não se aplica</t>
        </r>
      </text>
    </comment>
    <comment ref="C34" authorId="0">
      <text>
        <r>
          <rPr>
            <sz val="10"/>
            <rFont val="Arial"/>
            <family val="2"/>
          </rPr>
          <t>Não se aplica</t>
        </r>
      </text>
    </comment>
    <comment ref="C35" authorId="0">
      <text>
        <r>
          <rPr>
            <sz val="10"/>
            <rFont val="Arial"/>
            <family val="2"/>
          </rPr>
          <t>Parágrafo 1º da Cláusula Trigésima Oitava</t>
        </r>
        <r>
          <rPr>
            <sz val="10"/>
            <rFont val="Arial"/>
            <family val="2"/>
          </rPr>
          <t xml:space="preserve"> (DO PROGRAMA DE CONTROLE MÉDICO DE SAÚDE 
OCUPACIONAL) da CCT 2017.</t>
        </r>
      </text>
    </comment>
    <comment ref="C36" authorId="0">
      <text>
        <r>
          <rPr>
            <sz val="10"/>
            <rFont val="Arial"/>
            <family val="2"/>
          </rPr>
          <t>Conforme §1º da Cláusula Décima Terceira da CCT 2017.</t>
        </r>
      </text>
    </comment>
    <comment ref="C41" authorId="0">
      <text>
        <r>
          <rPr>
            <sz val="10"/>
            <rFont val="Arial"/>
            <family val="2"/>
          </rPr>
          <t>Referência: Custo Mensal de Uniformes (vide planilha específica)</t>
        </r>
      </text>
    </comment>
    <comment ref="C42" authorId="0">
      <text>
        <r>
          <rPr>
            <sz val="10"/>
            <rFont val="Arial"/>
            <family val="2"/>
          </rPr>
          <t>Não se aplica.</t>
        </r>
      </text>
    </comment>
    <comment ref="D48" authorId="0">
      <text>
        <r>
          <rPr>
            <sz val="10"/>
            <rFont val="Arial"/>
            <family val="2"/>
          </rPr>
          <t>Art. 22, Inciso I, da Lei nº 8.212/91.</t>
        </r>
      </text>
    </comment>
    <comment ref="D49" authorId="0">
      <text>
        <r>
          <rPr>
            <sz val="10"/>
            <rFont val="Arial"/>
            <family val="2"/>
          </rPr>
          <t>Art. 3º, Lei n.º 8.036/90.</t>
        </r>
      </text>
    </comment>
    <comment ref="D50" authorId="0">
      <text>
        <r>
          <rPr>
            <sz val="10"/>
            <rFont val="Arial"/>
            <family val="2"/>
          </rPr>
          <t>Decreto n.º 2.318/86</t>
        </r>
      </text>
    </comment>
    <comment ref="D51" authorId="0">
      <text>
        <r>
          <rPr>
            <sz val="10"/>
            <rFont val="Arial"/>
            <family val="2"/>
          </rPr>
          <t>Lei n.º 7.787/89 e DL n.º 1.146/70.</t>
        </r>
      </text>
    </comment>
    <comment ref="D52" authorId="0">
      <text>
        <r>
          <rPr>
            <sz val="10"/>
            <rFont val="Arial"/>
            <family val="2"/>
          </rPr>
          <t>Art. 3º, Inciso I, Decreto n.º 87.043/82.</t>
        </r>
      </text>
    </comment>
    <comment ref="D53" authorId="0">
      <text>
        <r>
          <rPr>
            <sz val="10"/>
            <rFont val="Arial"/>
            <family val="2"/>
          </rPr>
          <t>Art. 15, Lei nº 8.030/90 e Art. 7º, III, CF.</t>
        </r>
      </text>
    </comment>
    <comment ref="D54" authorId="0">
      <text>
        <r>
          <rPr>
            <sz val="10"/>
            <rFont val="Arial"/>
            <family val="2"/>
          </rPr>
          <t>RAT x FAP. 
1) RAT = 3% (Cantinas - serviços de alimentação privativos - código 5620-1/03 do Anexo V do Decreto n.º 3.048/1999). 
2) FAP = Máximo de Fator de Acidente Previdenciário = 2:
3% x 2 = 6% (maior valor possível)
A empresa deve utilizar o seu FAP efetivo, a ser comprovado no envio de sua proposta adequada ao lance vencedor, mediante apresentação da GFIP ou outro documento apto a fazê-lo.</t>
        </r>
      </text>
    </comment>
    <comment ref="D55" authorId="0">
      <text>
        <r>
          <rPr>
            <sz val="10"/>
            <rFont val="Arial"/>
            <family val="2"/>
          </rPr>
          <t>Art. 8º, Lei n.º 8.029/90 e Lei n.º 8.154/90.</t>
        </r>
      </text>
    </comment>
    <comment ref="C61" authorId="0">
      <text>
        <r>
          <rPr>
            <sz val="10"/>
            <rFont val="Arial"/>
            <family val="2"/>
          </rPr>
          <t>13º= Uma remuneração anual
Cálculo= 1/12 = 8,33%</t>
        </r>
      </text>
    </comment>
    <comment ref="C62" authorId="0">
      <text>
        <r>
          <rPr>
            <sz val="10"/>
            <rFont val="Arial"/>
            <family val="2"/>
          </rPr>
          <t>Adicional de Férias = 1/3 da Remuneração.
Cálculo=(1/3)/12 = 2,78%</t>
        </r>
      </text>
    </comment>
    <comment ref="C64" authorId="0">
      <text>
        <r>
          <rPr>
            <sz val="10"/>
            <rFont val="Arial"/>
            <family val="2"/>
          </rPr>
          <t>Encargos Previdenciários e FGTS sobre 13º e Adicional de Férias.
Subtotal 4.2 * Percentual Total Modulo 4.1</t>
        </r>
      </text>
    </comment>
    <comment ref="C69" authorId="0">
      <text>
        <r>
          <rPr>
            <sz val="10"/>
            <rFont val="Arial"/>
            <family val="2"/>
          </rPr>
          <t>Referência: Caderno Tecnico MPOG Limpeza MT 2015, pg 43:
Valores pagos durante a Licença: 
[Adicional Férias (provisão mensal) + 13º Salário (provisão mensal) +  Seguro de Vida] * 4 meses de licença * 61,81% de mulheres na atividade (Caderno Tecnico MPOG Limpeza MT 2015, pg 43) * 6,06% de taxa de maternidade em MT (Caderno Tecnico MPOG Limpeza MT 2011, pg 52).
Esse valor deve ser dividido por 12, para refletir o custo mensal.</t>
        </r>
      </text>
    </comment>
    <comment ref="C70" authorId="0">
      <text>
        <r>
          <rPr>
            <sz val="10"/>
            <rFont val="Arial"/>
            <family val="2"/>
          </rPr>
          <t>Encargos Previdenciários e FGTS sobre Afastamento Maternidade.
Subtotal 4.3 * Percentual Total Modulo 4.1</t>
        </r>
      </text>
    </comment>
    <comment ref="C75" authorId="0">
      <text>
        <r>
          <rPr>
            <sz val="10"/>
            <rFont val="Arial"/>
            <family val="2"/>
          </rPr>
          <t>{[0,05 x (1/12)] x100} = 0,417%
Considerando 5% de empregados substituídos durante o contrato</t>
        </r>
      </text>
    </comment>
    <comment ref="C76" authorId="0">
      <text>
        <r>
          <rPr>
            <sz val="10"/>
            <rFont val="Arial"/>
            <family val="2"/>
          </rPr>
          <t>Aviso prévio indenizado * Percentual Total do Submódulo 4.1</t>
        </r>
      </text>
    </comment>
    <comment ref="C77" authorId="0">
      <text>
        <r>
          <rPr>
            <sz val="10"/>
            <rFont val="Arial"/>
            <family val="2"/>
          </rPr>
          <t>Remuneração * (8% de FGTS) * 50% de multa do FGTS * 5% de funcionários demitidos com aviso prévio indenizado</t>
        </r>
      </text>
    </comment>
    <comment ref="C78" authorId="0">
      <text>
        <r>
          <rPr>
            <sz val="10"/>
            <rFont val="Arial"/>
            <family val="2"/>
          </rPr>
          <t>{[(7/30)/12]x100} = 1,944%
7 dias de folga / 30 dias / 12 meses (vigência inicial do contrato) = provisão mensal para esse item de custo * remuneração mensal</t>
        </r>
      </text>
    </comment>
    <comment ref="C79" authorId="0">
      <text>
        <r>
          <rPr>
            <sz val="10"/>
            <rFont val="Arial"/>
            <family val="2"/>
          </rPr>
          <t>Aviso prévio trabalhado * Percentual Total do Submódulo 4.1</t>
        </r>
      </text>
    </comment>
    <comment ref="C80" authorId="0">
      <text>
        <r>
          <rPr>
            <sz val="10"/>
            <rFont val="Arial"/>
            <family val="2"/>
          </rPr>
          <t>Remuneração * (8% de FGTS) * 50% de multa do FGTS</t>
        </r>
      </text>
    </comment>
    <comment ref="C85" authorId="0">
      <text>
        <r>
          <rPr>
            <sz val="10"/>
            <rFont val="Arial"/>
            <family val="2"/>
          </rPr>
          <t>01 Remuneração / 12 meses = 8,33%</t>
        </r>
      </text>
    </comment>
    <comment ref="C86" authorId="0">
      <text>
        <r>
          <rPr>
            <sz val="10"/>
            <rFont val="Arial"/>
            <family val="2"/>
          </rPr>
          <t>Manual de Preenchimento de Planilhas do MPOG 2011 (pg 27): 1,66%</t>
        </r>
      </text>
    </comment>
    <comment ref="C87" authorId="0">
      <text>
        <r>
          <rPr>
            <sz val="10"/>
            <rFont val="Arial"/>
            <family val="2"/>
          </rPr>
          <t>Manual de Preenchimento de Planilhas do MPOG 2011 (pg 27): 0,2%</t>
        </r>
      </text>
    </comment>
    <comment ref="C88" authorId="0">
      <text>
        <r>
          <rPr>
            <sz val="10"/>
            <rFont val="Arial"/>
            <family val="2"/>
          </rPr>
          <t>Acordao TCU 1753-2008: Calcula, segundo estimativas do MPOG, em 2,96 dias por ano as ausências legais, calculando em 0,82% o impacto sobre a remuneração.
Cálculo= (2,96/30)/12.</t>
        </r>
      </text>
    </comment>
    <comment ref="C89" authorId="0">
      <text>
        <r>
          <rPr>
            <sz val="10"/>
            <rFont val="Arial"/>
            <family val="2"/>
          </rPr>
          <t>Manual de Preenchimento de Planilhas do MPOG 2011 (pg 28): 0,03%</t>
        </r>
      </text>
    </comment>
    <comment ref="C91" authorId="0">
      <text>
        <r>
          <rPr>
            <sz val="10"/>
            <rFont val="Arial"/>
            <family val="2"/>
          </rPr>
          <t>Soma do Custo de Reposição * Percentual total de submódulo 4.1</t>
        </r>
      </text>
    </comment>
    <comment ref="C106" authorId="0">
      <text>
        <r>
          <rPr>
            <sz val="10"/>
            <rFont val="Arial"/>
            <family val="2"/>
          </rPr>
          <t xml:space="preserve">Referência: Custos Indiretos e Lucro (vide planilha específica).
</t>
        </r>
      </text>
    </comment>
    <comment ref="D106" authorId="0">
      <text>
        <r>
          <rPr>
            <sz val="10"/>
            <rFont val="Arial"/>
            <family val="2"/>
          </rPr>
          <t>Memória de Cálculo: [(remuneração + benefícios mensais e diários + insumos diversos + encargos sociais e trabalhistas) x (percentual dos custos indiretos)].</t>
        </r>
      </text>
    </comment>
    <comment ref="B107" authorId="0">
      <text>
        <r>
          <rPr>
            <sz val="10"/>
            <rFont val="Arial"/>
            <family val="2"/>
          </rPr>
          <t>O percentual de tributos é aplicado sobre o faturamento</t>
        </r>
      </text>
    </comment>
    <comment ref="C108" authorId="0">
      <text>
        <r>
          <rPr>
            <sz val="10"/>
            <rFont val="Arial"/>
            <family val="2"/>
          </rPr>
          <t>Referência: Os tributos (COFINS e PIS) foram definidos utilizando o regime de tributação de LUCRO REAL.
A licitante deve elaborar sua proposta e, por conseguinte, sua planilha, com base no regime de tributação ao qual estará submetida durante a execução do contrato.</t>
        </r>
      </text>
    </comment>
    <comment ref="D108" authorId="0">
      <text>
        <r>
          <rPr>
            <sz val="10"/>
            <rFont val="Arial"/>
            <family val="2"/>
          </rPr>
          <t>Memória de Cálculo:
Tributos Federais (PIS 1,65% + COFINS 7,60%): { [ (remuneração + benefícios mensais e diários + insumos diversos + encargos sociais e trabalhistas + custos indiretos + lucro) / (1-percentual total dos tributos) ] x (percentual do PIS + COFINS) }</t>
        </r>
      </text>
    </comment>
    <comment ref="C110" authorId="0">
      <text>
        <r>
          <rPr>
            <sz val="10"/>
            <rFont val="Arial"/>
            <family val="2"/>
          </rPr>
          <t>Valor do ISS praticado no Município onde será prestado o serviço.</t>
        </r>
      </text>
    </comment>
    <comment ref="D110" authorId="0">
      <text>
        <r>
          <rPr>
            <sz val="10"/>
            <rFont val="Arial"/>
            <family val="2"/>
          </rPr>
          <t>Memória de Cálculo:
Tributos Municipais (ISSQN): { [ (remuneração + benefícios mensais e diários + insumos diversos + encargos sociais e trabalhistas + custos indiretos + lucro) / (1-percentual total dos tributos) ] x (percentual do ISSQN) }.</t>
        </r>
      </text>
    </comment>
    <comment ref="C112" authorId="0">
      <text>
        <r>
          <rPr>
            <sz val="10"/>
            <rFont val="Arial"/>
            <family val="2"/>
          </rPr>
          <t>Referência: Custos Indiretos e Lucro (vide planilha específica).</t>
        </r>
      </text>
    </comment>
    <comment ref="D112" authorId="1">
      <text>
        <r>
          <rPr>
            <sz val="10"/>
            <rFont val="Arial"/>
            <family val="2"/>
          </rPr>
          <t xml:space="preserve">Memória de Cálculo: [(remuneração + benefícios mensais e diários + insumos diversos + encargos sociais e trabalhistas + custos indiretos) x (percentual do lucro)].
</t>
        </r>
      </text>
    </comment>
  </commentList>
</comments>
</file>

<file path=xl/comments3.xml><?xml version="1.0" encoding="utf-8"?>
<comments xmlns="http://schemas.openxmlformats.org/spreadsheetml/2006/main">
  <authors>
    <author/>
    <author>Fabr?cio Geraldo dos Santos Rodrigues</author>
  </authors>
  <commentList>
    <comment ref="C11" authorId="0">
      <text>
        <r>
          <rPr>
            <sz val="10"/>
            <rFont val="Arial"/>
            <family val="2"/>
          </rPr>
          <t>SEG - SEX: Dias trabalhados = 30,42 dias/mês * (5 dias (seg-sex) / 7 dias por semana) - [12 feriados * (probabilidade de não coincidir com domingo 5/7) / 12 meses] = 21,01 dias/mês</t>
        </r>
      </text>
    </comment>
    <comment ref="C19" authorId="0">
      <text>
        <r>
          <rPr>
            <sz val="10"/>
            <rFont val="Arial"/>
            <family val="2"/>
          </rPr>
          <t>2ª Faixa Salarial CCT 2017. Considerando que a Jornada de trabalho será de 40 horas, e que a CCT disciplina uma jornada de 44 horas, é necessário realizar a conversão do salário base de 44 horas para 40 horas, conforme memória de cálculo abaixo:
Salário base = (salário da CCT / 44) * 40</t>
        </r>
      </text>
    </comment>
    <comment ref="C20" authorId="0">
      <text>
        <r>
          <rPr>
            <sz val="10"/>
            <rFont val="Arial"/>
            <family val="2"/>
          </rPr>
          <t>Não se aplica</t>
        </r>
      </text>
    </comment>
    <comment ref="C21" authorId="0">
      <text>
        <r>
          <rPr>
            <sz val="10"/>
            <rFont val="Arial"/>
            <family val="2"/>
          </rPr>
          <t>Não se aplica</t>
        </r>
      </text>
    </comment>
    <comment ref="C22" authorId="0">
      <text>
        <r>
          <rPr>
            <sz val="10"/>
            <rFont val="Arial"/>
            <family val="2"/>
          </rPr>
          <t>Não se aplica.</t>
        </r>
      </text>
    </comment>
    <comment ref="C23" authorId="0">
      <text>
        <r>
          <rPr>
            <sz val="10"/>
            <rFont val="Arial"/>
            <family val="2"/>
          </rPr>
          <t>Não se aplica</t>
        </r>
      </text>
    </comment>
    <comment ref="C24" authorId="0">
      <text>
        <r>
          <rPr>
            <sz val="10"/>
            <rFont val="Arial"/>
            <family val="2"/>
          </rPr>
          <t xml:space="preserve">Jornada dos funcionários acompanha os dias úteis da instituição onde trabalha. </t>
        </r>
      </text>
    </comment>
    <comment ref="C25" authorId="0">
      <text>
        <r>
          <rPr>
            <sz val="10"/>
            <rFont val="Arial"/>
            <family val="2"/>
          </rPr>
          <t>Não se aplica</t>
        </r>
      </text>
    </comment>
    <comment ref="C26" authorId="0">
      <text>
        <r>
          <rPr>
            <sz val="10"/>
            <rFont val="Arial"/>
            <family val="2"/>
          </rPr>
          <t>Gratificação por Assiduidade prevista na 2ª Faixa Salarial da CCT 2017. Considerando que a Jornada de trabalho será de 40 horas, e que a CCT disciplina uma jornada de 44 horas, é necessário realizar a conversão da gratificação de assiduidade de 44 horas para 40 horas, conforme memória de cálculo abaixo:
Gratificação de assiduidade = (gratificação da CCT / 44) * 40</t>
        </r>
      </text>
    </comment>
    <comment ref="C31" authorId="0">
      <text>
        <r>
          <rPr>
            <sz val="10"/>
            <rFont val="Arial"/>
            <family val="2"/>
          </rPr>
          <t>Considerando que o Município de Confresa não dispõe de Transporte Coletivo regular, aplica-se a disposição constante na Cláusula Décima Quarta da CCT 2017 (Do Transporte Alternativo).
Dessa forma, o valor mensal do transporte alternativo é obtido da seguinte forma:
Transporte Alternativo = (Valor da bicicleta / 12) + bonificação mensal.</t>
        </r>
      </text>
    </comment>
    <comment ref="C32" authorId="0">
      <text>
        <r>
          <rPr>
            <sz val="10"/>
            <rFont val="Arial"/>
            <family val="2"/>
          </rPr>
          <t>CCT 2017 (12ª §1º) define R$ 14,00/dia com possibilidade de descontar até 20% desse valor como contribuição do funcionário (§3º, regra do PAT). 
Cálculo: (R$ 14,00 - 20%) * 21,01 dias (Dias trabalhados no mês de segunda a sexta)</t>
        </r>
      </text>
    </comment>
    <comment ref="C33" authorId="0">
      <text>
        <r>
          <rPr>
            <sz val="10"/>
            <rFont val="Arial"/>
            <family val="2"/>
          </rPr>
          <t>Não se aplica</t>
        </r>
      </text>
    </comment>
    <comment ref="C34" authorId="0">
      <text>
        <r>
          <rPr>
            <sz val="10"/>
            <rFont val="Arial"/>
            <family val="2"/>
          </rPr>
          <t>Não se aplica</t>
        </r>
      </text>
    </comment>
    <comment ref="C35" authorId="0">
      <text>
        <r>
          <rPr>
            <sz val="10"/>
            <rFont val="Arial"/>
            <family val="2"/>
          </rPr>
          <t>Parágrafo 1º da Cláusula Trigésima Oitava</t>
        </r>
        <r>
          <rPr>
            <sz val="10"/>
            <rFont val="Arial"/>
            <family val="2"/>
          </rPr>
          <t xml:space="preserve"> (DO PROGRAMA DE CONTROLE MÉDICO DE SAÚDE 
OCUPACIONAL) da CCT 2017.</t>
        </r>
      </text>
    </comment>
    <comment ref="C36" authorId="0">
      <text>
        <r>
          <rPr>
            <sz val="10"/>
            <rFont val="Arial"/>
            <family val="2"/>
          </rPr>
          <t>Conforme §1º da Cláusula Décima Terceira da CCT 2017.</t>
        </r>
      </text>
    </comment>
    <comment ref="C41" authorId="0">
      <text>
        <r>
          <rPr>
            <sz val="10"/>
            <rFont val="Arial"/>
            <family val="2"/>
          </rPr>
          <t>Referência: Custo Mensal de Uniformes (vide planilha específica)</t>
        </r>
      </text>
    </comment>
    <comment ref="C42" authorId="0">
      <text>
        <r>
          <rPr>
            <sz val="10"/>
            <rFont val="Arial"/>
            <family val="2"/>
          </rPr>
          <t>Não se aplica.</t>
        </r>
      </text>
    </comment>
    <comment ref="D48" authorId="0">
      <text>
        <r>
          <rPr>
            <sz val="10"/>
            <rFont val="Arial"/>
            <family val="2"/>
          </rPr>
          <t>Art. 22, Inciso I, da Lei nº 8.212/91.</t>
        </r>
      </text>
    </comment>
    <comment ref="D49" authorId="0">
      <text>
        <r>
          <rPr>
            <sz val="10"/>
            <rFont val="Arial"/>
            <family val="2"/>
          </rPr>
          <t>Art. 3º, Lei n.º 8.036/90.</t>
        </r>
      </text>
    </comment>
    <comment ref="D50" authorId="0">
      <text>
        <r>
          <rPr>
            <sz val="10"/>
            <rFont val="Arial"/>
            <family val="2"/>
          </rPr>
          <t>Decreto n.º 2.318/86</t>
        </r>
      </text>
    </comment>
    <comment ref="D51" authorId="0">
      <text>
        <r>
          <rPr>
            <sz val="10"/>
            <rFont val="Arial"/>
            <family val="2"/>
          </rPr>
          <t>Lei n.º 7.787/89 e DL n.º 1.146/70.</t>
        </r>
      </text>
    </comment>
    <comment ref="D52" authorId="0">
      <text>
        <r>
          <rPr>
            <sz val="10"/>
            <rFont val="Arial"/>
            <family val="2"/>
          </rPr>
          <t>Art. 3º, Inciso I, Decreto n.º 87.043/82.</t>
        </r>
      </text>
    </comment>
    <comment ref="D53" authorId="0">
      <text>
        <r>
          <rPr>
            <sz val="10"/>
            <rFont val="Arial"/>
            <family val="2"/>
          </rPr>
          <t>Art. 15, Lei nº 8.030/90 e Art. 7º, III, CF.</t>
        </r>
      </text>
    </comment>
    <comment ref="D54" authorId="0">
      <text>
        <r>
          <rPr>
            <sz val="10"/>
            <rFont val="Arial"/>
            <family val="2"/>
          </rPr>
          <t>RAT x FAP. 
1) RAT = 3% (Cantinas - serviços de alimentação privativos - código 5620-1/03 do Anexo V do Decreto n.º 3.048/1999). 
2) FAP = Máximo de Fator de Acidente Previdenciário = 2:
3% x 2 = 6% (maior valor possível)
A empresa deve utilizar o seu FAP efetivo, a ser comprovado no envio de sua proposta adequada ao lance vencedor, mediante apresentação da GFIP ou outro documento apto a fazê-lo.</t>
        </r>
      </text>
    </comment>
    <comment ref="D55" authorId="0">
      <text>
        <r>
          <rPr>
            <sz val="10"/>
            <rFont val="Arial"/>
            <family val="2"/>
          </rPr>
          <t>Art. 8º, Lei n.º 8.029/90 e Lei n.º 8.154/90.</t>
        </r>
      </text>
    </comment>
    <comment ref="C61" authorId="0">
      <text>
        <r>
          <rPr>
            <sz val="10"/>
            <rFont val="Arial"/>
            <family val="2"/>
          </rPr>
          <t>13º= Uma remuneração anual
Cálculo= 1/12 = 8,33%</t>
        </r>
      </text>
    </comment>
    <comment ref="C62" authorId="0">
      <text>
        <r>
          <rPr>
            <sz val="10"/>
            <rFont val="Arial"/>
            <family val="2"/>
          </rPr>
          <t>Adicional de Férias = 1/3 da Remuneração.
Cálculo=(1/3)/12 = 2,78%</t>
        </r>
      </text>
    </comment>
    <comment ref="C64" authorId="0">
      <text>
        <r>
          <rPr>
            <sz val="10"/>
            <rFont val="Arial"/>
            <family val="2"/>
          </rPr>
          <t>Encargos Previdenciários e FGTS sobre 13º e Adicional de Férias.
Subtotal 4.2 * Percentual Total Modulo 4.1</t>
        </r>
      </text>
    </comment>
    <comment ref="C69" authorId="0">
      <text>
        <r>
          <rPr>
            <sz val="10"/>
            <rFont val="Arial"/>
            <family val="2"/>
          </rPr>
          <t>Referência: Caderno Tecnico MPOG Limpeza MT 2015, pg 43:
Valores pagos durante a Licença: 
[Adicional Férias (provisão mensal) + 13º Salário (provisão mensal) +  Seguro de Vida] * 4 meses de licença * 61,81% de mulheres na atividade (Caderno Tecnico MPOG Limpeza MT 2015, pg 43) * 6,06% de taxa de maternidade em MT (Caderno Tecnico MPOG Limpeza MT 2011, pg 52).
Esse valor deve ser dividido por 12, para refletir o custo mensal.</t>
        </r>
      </text>
    </comment>
    <comment ref="C70" authorId="0">
      <text>
        <r>
          <rPr>
            <sz val="10"/>
            <rFont val="Arial"/>
            <family val="2"/>
          </rPr>
          <t>Encargos Previdenciários e FGTS sobre Afastamento Maternidade.
Subtotal 4.3 * Percentual Total Modulo 4.1</t>
        </r>
      </text>
    </comment>
    <comment ref="C75" authorId="0">
      <text>
        <r>
          <rPr>
            <sz val="10"/>
            <rFont val="Arial"/>
            <family val="2"/>
          </rPr>
          <t>{[0,05 x (1/12)] x100} = 0,417%
Considerando 5% de empregados substituídos durante o contrato</t>
        </r>
      </text>
    </comment>
    <comment ref="C76" authorId="0">
      <text>
        <r>
          <rPr>
            <sz val="10"/>
            <rFont val="Arial"/>
            <family val="2"/>
          </rPr>
          <t>Aviso prévio indenizado * Percentual Total do Submódulo 4.1</t>
        </r>
      </text>
    </comment>
    <comment ref="C77" authorId="0">
      <text>
        <r>
          <rPr>
            <sz val="10"/>
            <rFont val="Arial"/>
            <family val="2"/>
          </rPr>
          <t>Remuneração * (8% de FGTS) * 50% de multa do FGTS * 5% de funcionários demitidos com aviso prévio indenizado</t>
        </r>
      </text>
    </comment>
    <comment ref="C78" authorId="0">
      <text>
        <r>
          <rPr>
            <sz val="10"/>
            <rFont val="Arial"/>
            <family val="2"/>
          </rPr>
          <t>{[(7/30)/12]x100} = 1,944%
7 dias de folga / 30 dias / 12 meses (vigência inicial do contrato) = provisão mensal para esse item de custo * remuneração mensal</t>
        </r>
      </text>
    </comment>
    <comment ref="C79" authorId="0">
      <text>
        <r>
          <rPr>
            <sz val="10"/>
            <rFont val="Arial"/>
            <family val="2"/>
          </rPr>
          <t>Aviso prévio trabalhado * Percentual Total do Submódulo 4.1</t>
        </r>
      </text>
    </comment>
    <comment ref="C80" authorId="0">
      <text>
        <r>
          <rPr>
            <sz val="10"/>
            <rFont val="Arial"/>
            <family val="2"/>
          </rPr>
          <t>Remuneração * (8% de FGTS) * 50% de multa do FGTS</t>
        </r>
      </text>
    </comment>
    <comment ref="C85" authorId="0">
      <text>
        <r>
          <rPr>
            <sz val="10"/>
            <rFont val="Arial"/>
            <family val="2"/>
          </rPr>
          <t>01 Remuneração / 12 meses = 8,33%</t>
        </r>
      </text>
    </comment>
    <comment ref="C86" authorId="0">
      <text>
        <r>
          <rPr>
            <sz val="10"/>
            <rFont val="Arial"/>
            <family val="2"/>
          </rPr>
          <t>Manual de Preenchimento de Planilhas do MPOG 2011 (pg 27): 1,66%</t>
        </r>
      </text>
    </comment>
    <comment ref="C87" authorId="0">
      <text>
        <r>
          <rPr>
            <sz val="10"/>
            <rFont val="Arial"/>
            <family val="2"/>
          </rPr>
          <t>Manual de Preenchimento de Planilhas do MPOG 2011 (pg 27): 0,2%</t>
        </r>
      </text>
    </comment>
    <comment ref="C88" authorId="0">
      <text>
        <r>
          <rPr>
            <sz val="10"/>
            <rFont val="Arial"/>
            <family val="2"/>
          </rPr>
          <t>Acordao TCU 1753-2008: Calcula, segundo estimativas do MPOG, em 2,96 dias por ano as ausências legais, calculando em 0,82% o impacto sobre a remuneração.
Cálculo= (2,96/30)/12.</t>
        </r>
      </text>
    </comment>
    <comment ref="C89" authorId="0">
      <text>
        <r>
          <rPr>
            <sz val="10"/>
            <rFont val="Arial"/>
            <family val="2"/>
          </rPr>
          <t>Manual de Preenchimento de Planilhas do MPOG 2011 (pg 28): 0,03%</t>
        </r>
      </text>
    </comment>
    <comment ref="C91" authorId="0">
      <text>
        <r>
          <rPr>
            <sz val="10"/>
            <rFont val="Arial"/>
            <family val="2"/>
          </rPr>
          <t>Soma do Custo de Reposição * Percentual total de submódulo 4.1</t>
        </r>
      </text>
    </comment>
    <comment ref="C106" authorId="0">
      <text>
        <r>
          <rPr>
            <sz val="10"/>
            <rFont val="Arial"/>
            <family val="2"/>
          </rPr>
          <t xml:space="preserve">Referência: Custos Indiretos e Lucro (vide planilha específica).
</t>
        </r>
      </text>
    </comment>
    <comment ref="D106" authorId="0">
      <text>
        <r>
          <rPr>
            <sz val="10"/>
            <rFont val="Arial"/>
            <family val="2"/>
          </rPr>
          <t>Memória de Cálculo: [(remuneração + benefícios mensais e diários + insumos diversos + encargos sociais e trabalhistas) x (percentual dos custos indiretos)].</t>
        </r>
      </text>
    </comment>
    <comment ref="B107" authorId="0">
      <text>
        <r>
          <rPr>
            <sz val="10"/>
            <rFont val="Arial"/>
            <family val="2"/>
          </rPr>
          <t>O percentual de tributos é aplicado sobre o faturamento</t>
        </r>
      </text>
    </comment>
    <comment ref="C108" authorId="0">
      <text>
        <r>
          <rPr>
            <sz val="10"/>
            <rFont val="Arial"/>
            <family val="2"/>
          </rPr>
          <t>Referência: Os tributos (COFINS e PIS) foram definidos utilizando o regime de tributação de LUCRO REAL.
A licitante deve elaborar sua proposta e, por conseguinte, sua planilha, com base no regime de tributação ao qual estará submetida durante a execução do contrato.</t>
        </r>
      </text>
    </comment>
    <comment ref="D108" authorId="0">
      <text>
        <r>
          <rPr>
            <sz val="10"/>
            <rFont val="Arial"/>
            <family val="2"/>
          </rPr>
          <t>Memória de Cálculo:
Tributos Federais (PIS 1,65% + COFINS 7,60%): { [ (remuneração + benefícios mensais e diários + insumos diversos + encargos sociais e trabalhistas + custos indiretos + lucro) / (1-percentual total dos tributos) ] x (percentual do PIS + COFINS) }</t>
        </r>
      </text>
    </comment>
    <comment ref="C110" authorId="0">
      <text>
        <r>
          <rPr>
            <sz val="10"/>
            <rFont val="Arial"/>
            <family val="2"/>
          </rPr>
          <t>Valor do ISS praticado no Município onde será prestado o serviço.</t>
        </r>
      </text>
    </comment>
    <comment ref="D110" authorId="0">
      <text>
        <r>
          <rPr>
            <sz val="10"/>
            <rFont val="Arial"/>
            <family val="2"/>
          </rPr>
          <t>Memória de Cálculo:
Tributos Municipais (ISSQN): { [ (remuneração + benefícios mensais e diários + insumos diversos + encargos sociais e trabalhistas + custos indiretos + lucro) / (1-percentual total dos tributos) ] x (percentual do ISSQN) }.</t>
        </r>
      </text>
    </comment>
    <comment ref="C112" authorId="0">
      <text>
        <r>
          <rPr>
            <sz val="10"/>
            <rFont val="Arial"/>
            <family val="2"/>
          </rPr>
          <t>Referência: Custos Indiretos e Lucro (vide planilha específica).</t>
        </r>
      </text>
    </comment>
    <comment ref="D112" authorId="1">
      <text>
        <r>
          <rPr>
            <sz val="10"/>
            <rFont val="Arial"/>
            <family val="2"/>
          </rPr>
          <t xml:space="preserve">Memória de Cálculo: [(remuneração + benefícios mensais e diários + insumos diversos + encargos sociais e trabalhistas + custos indiretos) x (percentual do lucro)].
</t>
        </r>
      </text>
    </comment>
  </commentList>
</comments>
</file>

<file path=xl/comments4.xml><?xml version="1.0" encoding="utf-8"?>
<comments xmlns="http://schemas.openxmlformats.org/spreadsheetml/2006/main">
  <authors>
    <author/>
    <author>Fabr?cio Geraldo dos Santos Rodrigues</author>
  </authors>
  <commentList>
    <comment ref="C11" authorId="0">
      <text>
        <r>
          <rPr>
            <sz val="10"/>
            <rFont val="Arial"/>
            <family val="2"/>
          </rPr>
          <t>SEG - SEX: Dias trabalhados = 30,42 dias/mês * (5 dias (seg-sex) / 7 dias por semana) - [12 feriados * (probabilidade de não coincidir com domingo 5/7) / 12 meses] = 21,01 dias/mês</t>
        </r>
      </text>
    </comment>
    <comment ref="C19" authorId="0">
      <text>
        <r>
          <rPr>
            <sz val="10"/>
            <rFont val="Arial"/>
            <family val="2"/>
          </rPr>
          <t>2ª Faixa Salarial CCT 2017. Considerando que a Jornada de trabalho será de 40 horas, e que a CCT disciplina uma jornada de 44 horas, é necessário realizar a conversão do salário base de 44 horas para 40 horas, conforme memória de cálculo abaixo:
Salário base = (salário da CCT / 44) * 40</t>
        </r>
      </text>
    </comment>
    <comment ref="C20" authorId="0">
      <text>
        <r>
          <rPr>
            <sz val="10"/>
            <rFont val="Arial"/>
            <family val="2"/>
          </rPr>
          <t>Não se aplica</t>
        </r>
      </text>
    </comment>
    <comment ref="C21" authorId="0">
      <text>
        <r>
          <rPr>
            <sz val="10"/>
            <rFont val="Arial"/>
            <family val="2"/>
          </rPr>
          <t>Não se aplica</t>
        </r>
      </text>
    </comment>
    <comment ref="C22" authorId="0">
      <text>
        <r>
          <rPr>
            <sz val="10"/>
            <rFont val="Arial"/>
            <family val="2"/>
          </rPr>
          <t>Não se aplica.</t>
        </r>
      </text>
    </comment>
    <comment ref="C23" authorId="0">
      <text>
        <r>
          <rPr>
            <sz val="10"/>
            <rFont val="Arial"/>
            <family val="2"/>
          </rPr>
          <t>Não se aplica</t>
        </r>
      </text>
    </comment>
    <comment ref="C24" authorId="0">
      <text>
        <r>
          <rPr>
            <sz val="10"/>
            <rFont val="Arial"/>
            <family val="2"/>
          </rPr>
          <t xml:space="preserve">Jornada dos funcionários acompanha os dias úteis da instituição onde trabalha. </t>
        </r>
      </text>
    </comment>
    <comment ref="C25" authorId="0">
      <text>
        <r>
          <rPr>
            <sz val="10"/>
            <rFont val="Arial"/>
            <family val="2"/>
          </rPr>
          <t>Não se aplica</t>
        </r>
      </text>
    </comment>
    <comment ref="C26" authorId="0">
      <text>
        <r>
          <rPr>
            <sz val="10"/>
            <rFont val="Arial"/>
            <family val="2"/>
          </rPr>
          <t>Gratificação por Assiduidade prevista na 2ª Faixa Salarial da CCT 2017. Considerando que a Jornada de trabalho será de 40 horas, e que a CCT disciplina uma jornada de 44 horas, é necessário realizar a conversão da gratificação de assiduidade de 44 horas para 40 horas, conforme memória de cálculo abaixo:
Gratificação de assiduidade = (gratificação da CCT / 44) * 40</t>
        </r>
      </text>
    </comment>
    <comment ref="C31" authorId="0">
      <text>
        <r>
          <rPr>
            <sz val="10"/>
            <rFont val="Arial"/>
            <family val="2"/>
          </rPr>
          <t>Memória de Cálculo: (Valor de uma passagem) * 2/dia * Qtde dias trabalhados/mês) - (Salario Base * 6%)</t>
        </r>
      </text>
    </comment>
    <comment ref="C32" authorId="0">
      <text>
        <r>
          <rPr>
            <sz val="10"/>
            <rFont val="Arial"/>
            <family val="2"/>
          </rPr>
          <t>CCT 2017 (12ª §1º) define R$ 14,00/dia com possibilidade de descontar até 20% desse valor como contribuição do funcionário (§3º, regra do PAT). 
Cálculo: (R$ 14,00 - 20%) * 21,01 dias (Dias trabalhados no mês de segunda a sexta)</t>
        </r>
      </text>
    </comment>
    <comment ref="C33" authorId="0">
      <text>
        <r>
          <rPr>
            <sz val="10"/>
            <rFont val="Arial"/>
            <family val="2"/>
          </rPr>
          <t>Não se aplica</t>
        </r>
      </text>
    </comment>
    <comment ref="C34" authorId="0">
      <text>
        <r>
          <rPr>
            <sz val="10"/>
            <rFont val="Arial"/>
            <family val="2"/>
          </rPr>
          <t>Não se aplica</t>
        </r>
      </text>
    </comment>
    <comment ref="C35" authorId="0">
      <text>
        <r>
          <rPr>
            <sz val="10"/>
            <rFont val="Arial"/>
            <family val="2"/>
          </rPr>
          <t>Parágrafo 1º da Cláusula Trigésima Oitava</t>
        </r>
        <r>
          <rPr>
            <sz val="10"/>
            <rFont val="Arial"/>
            <family val="2"/>
          </rPr>
          <t xml:space="preserve"> (DO PROGRAMA DE CONTROLE MÉDICO DE SAÚDE 
OCUPACIONAL) da CCT 2017.</t>
        </r>
      </text>
    </comment>
    <comment ref="C36" authorId="0">
      <text>
        <r>
          <rPr>
            <sz val="10"/>
            <rFont val="Arial"/>
            <family val="2"/>
          </rPr>
          <t>Conforme §1º da Cláusula Décima Terceira da CCT 2017.</t>
        </r>
      </text>
    </comment>
    <comment ref="C41" authorId="0">
      <text>
        <r>
          <rPr>
            <sz val="10"/>
            <rFont val="Arial"/>
            <family val="2"/>
          </rPr>
          <t>Referência: Custo Mensal de Uniformes (vide planilha específica)</t>
        </r>
      </text>
    </comment>
    <comment ref="C42" authorId="0">
      <text>
        <r>
          <rPr>
            <sz val="10"/>
            <rFont val="Arial"/>
            <family val="2"/>
          </rPr>
          <t>Não se aplica.</t>
        </r>
      </text>
    </comment>
    <comment ref="D48" authorId="0">
      <text>
        <r>
          <rPr>
            <sz val="10"/>
            <rFont val="Arial"/>
            <family val="2"/>
          </rPr>
          <t>Art. 22, Inciso I, da Lei nº 8.212/91.</t>
        </r>
      </text>
    </comment>
    <comment ref="D49" authorId="0">
      <text>
        <r>
          <rPr>
            <sz val="10"/>
            <rFont val="Arial"/>
            <family val="2"/>
          </rPr>
          <t>Art. 3º, Lei n.º 8.036/90.</t>
        </r>
      </text>
    </comment>
    <comment ref="D50" authorId="0">
      <text>
        <r>
          <rPr>
            <sz val="10"/>
            <rFont val="Arial"/>
            <family val="2"/>
          </rPr>
          <t>Decreto n.º 2.318/86</t>
        </r>
      </text>
    </comment>
    <comment ref="D51" authorId="0">
      <text>
        <r>
          <rPr>
            <sz val="10"/>
            <rFont val="Arial"/>
            <family val="2"/>
          </rPr>
          <t>Lei n.º 7.787/89 e DL n.º 1.146/70.</t>
        </r>
      </text>
    </comment>
    <comment ref="D52" authorId="0">
      <text>
        <r>
          <rPr>
            <sz val="10"/>
            <rFont val="Arial"/>
            <family val="2"/>
          </rPr>
          <t>Art. 3º, Inciso I, Decreto n.º 87.043/82.</t>
        </r>
      </text>
    </comment>
    <comment ref="D53" authorId="0">
      <text>
        <r>
          <rPr>
            <sz val="10"/>
            <rFont val="Arial"/>
            <family val="2"/>
          </rPr>
          <t>Art. 15, Lei nº 8.030/90 e Art. 7º, III, CF.</t>
        </r>
      </text>
    </comment>
    <comment ref="D54" authorId="0">
      <text>
        <r>
          <rPr>
            <sz val="10"/>
            <rFont val="Arial"/>
            <family val="2"/>
          </rPr>
          <t>RAT x FAP. 
1) RAT = 3% (Cantinas - serviços de alimentação privativos - código 5620-1/03 do Anexo V do Decreto n.º 3.048/1999). 
2) FAP = Máximo de Fator de Acidente Previdenciário = 2:
3% x 2 = 6% (maior valor possível)
A empresa deve utilizar o seu FAP efetivo, a ser comprovado no envio de sua proposta adequada ao lance vencedor, mediante apresentação da GFIP ou outro documento apto a fazê-lo.</t>
        </r>
      </text>
    </comment>
    <comment ref="D55" authorId="0">
      <text>
        <r>
          <rPr>
            <sz val="10"/>
            <rFont val="Arial"/>
            <family val="2"/>
          </rPr>
          <t>Art. 8º, Lei n.º 8.029/90 e Lei n.º 8.154/90.</t>
        </r>
      </text>
    </comment>
    <comment ref="C61" authorId="0">
      <text>
        <r>
          <rPr>
            <sz val="10"/>
            <rFont val="Arial"/>
            <family val="2"/>
          </rPr>
          <t>13º= Uma remuneração anual
Cálculo= 1/12 = 8,33%</t>
        </r>
      </text>
    </comment>
    <comment ref="C62" authorId="0">
      <text>
        <r>
          <rPr>
            <sz val="10"/>
            <rFont val="Arial"/>
            <family val="2"/>
          </rPr>
          <t>Adicional de Férias = 1/3 da Remuneração.
Cálculo=(1/3)/12 = 2,78%</t>
        </r>
      </text>
    </comment>
    <comment ref="C64" authorId="0">
      <text>
        <r>
          <rPr>
            <sz val="10"/>
            <rFont val="Arial"/>
            <family val="2"/>
          </rPr>
          <t>Encargos Previdenciários e FGTS sobre 13º e Adicional de Férias.
Subtotal 4.2 * Percentual Total Modulo 4.1</t>
        </r>
      </text>
    </comment>
    <comment ref="C69" authorId="0">
      <text>
        <r>
          <rPr>
            <sz val="10"/>
            <rFont val="Arial"/>
            <family val="2"/>
          </rPr>
          <t>Referência: Caderno Tecnico MPOG Limpeza MT 2015, pg 43:
Valores pagos durante a Licença: 
[Adicional Férias (provisão mensal) + 13º Salário (provisão mensal) +  Seguro de Vida] * 4 meses de licença * 61,81% de mulheres na atividade (Caderno Tecnico MPOG Limpeza MT 2015, pg 43) * 6,06% de taxa de maternidade em MT (Caderno Tecnico MPOG Limpeza MT 2011, pg 52).
Esse valor deve ser dividido por 12, para refletir o custo mensal.</t>
        </r>
      </text>
    </comment>
    <comment ref="C70" authorId="0">
      <text>
        <r>
          <rPr>
            <sz val="10"/>
            <rFont val="Arial"/>
            <family val="2"/>
          </rPr>
          <t>Encargos Previdenciários e FGTS sobre Afastamento Maternidade.
Subtotal 4.3 * Percentual Total Modulo 4.1</t>
        </r>
      </text>
    </comment>
    <comment ref="C75" authorId="0">
      <text>
        <r>
          <rPr>
            <sz val="10"/>
            <rFont val="Arial"/>
            <family val="2"/>
          </rPr>
          <t>{[0,05 x (1/12)] x100} = 0,417%
Considerando 5% de empregados substituídos durante o contrato</t>
        </r>
      </text>
    </comment>
    <comment ref="C76" authorId="0">
      <text>
        <r>
          <rPr>
            <sz val="10"/>
            <rFont val="Arial"/>
            <family val="2"/>
          </rPr>
          <t>Aviso prévio indenizado * Percentual Total do Submódulo 4.1</t>
        </r>
      </text>
    </comment>
    <comment ref="C77" authorId="0">
      <text>
        <r>
          <rPr>
            <sz val="10"/>
            <rFont val="Arial"/>
            <family val="2"/>
          </rPr>
          <t>Remuneração * (8% de FGTS) * 50% de multa do FGTS * 5% de funcionários demitidos com aviso prévio indenizado</t>
        </r>
      </text>
    </comment>
    <comment ref="C78" authorId="0">
      <text>
        <r>
          <rPr>
            <sz val="10"/>
            <rFont val="Arial"/>
            <family val="2"/>
          </rPr>
          <t>{[(7/30)/12]x100} = 1,944%
7 dias de folga / 30 dias / 12 meses (vigência inicial do contrato) = provisão mensal para esse item de custo * remuneração mensal</t>
        </r>
      </text>
    </comment>
    <comment ref="C79" authorId="0">
      <text>
        <r>
          <rPr>
            <sz val="10"/>
            <rFont val="Arial"/>
            <family val="2"/>
          </rPr>
          <t>Aviso prévio trabalhado * Percentual Total do Submódulo 4.1</t>
        </r>
      </text>
    </comment>
    <comment ref="C80" authorId="0">
      <text>
        <r>
          <rPr>
            <sz val="10"/>
            <rFont val="Arial"/>
            <family val="2"/>
          </rPr>
          <t>Remuneração * (8% de FGTS) * 50% de multa do FGTS</t>
        </r>
      </text>
    </comment>
    <comment ref="C85" authorId="0">
      <text>
        <r>
          <rPr>
            <sz val="10"/>
            <rFont val="Arial"/>
            <family val="2"/>
          </rPr>
          <t>01 Remuneração / 12 meses = 8,33%</t>
        </r>
      </text>
    </comment>
    <comment ref="C86" authorId="0">
      <text>
        <r>
          <rPr>
            <sz val="10"/>
            <rFont val="Arial"/>
            <family val="2"/>
          </rPr>
          <t>Manual de Preenchimento de Planilhas do MPOG 2011 (pg 27): 1,66%</t>
        </r>
      </text>
    </comment>
    <comment ref="C87" authorId="0">
      <text>
        <r>
          <rPr>
            <sz val="10"/>
            <rFont val="Arial"/>
            <family val="2"/>
          </rPr>
          <t>Manual de Preenchimento de Planilhas do MPOG 2011 (pg 27): 0,2%</t>
        </r>
      </text>
    </comment>
    <comment ref="C88" authorId="0">
      <text>
        <r>
          <rPr>
            <sz val="10"/>
            <rFont val="Arial"/>
            <family val="2"/>
          </rPr>
          <t>Acordao TCU 1753-2008: Calcula, segundo estimativas do MPOG, em 2,96 dias por ano as ausências legais, calculando em 0,82% o impacto sobre a remuneração.
Cálculo= (2,96/30)/12.</t>
        </r>
      </text>
    </comment>
    <comment ref="C89" authorId="0">
      <text>
        <r>
          <rPr>
            <sz val="10"/>
            <rFont val="Arial"/>
            <family val="2"/>
          </rPr>
          <t>Manual de Preenchimento de Planilhas do MPOG 2011 (pg 28): 0,03%</t>
        </r>
      </text>
    </comment>
    <comment ref="C91" authorId="0">
      <text>
        <r>
          <rPr>
            <sz val="10"/>
            <rFont val="Arial"/>
            <family val="2"/>
          </rPr>
          <t>Soma do Custo de Reposição * Percentual total de submódulo 4.1</t>
        </r>
      </text>
    </comment>
    <comment ref="C106" authorId="0">
      <text>
        <r>
          <rPr>
            <sz val="10"/>
            <rFont val="Arial"/>
            <family val="2"/>
          </rPr>
          <t xml:space="preserve">Referência: Custos Indiretos e Lucro (vide planilha específica).
</t>
        </r>
      </text>
    </comment>
    <comment ref="D106" authorId="0">
      <text>
        <r>
          <rPr>
            <sz val="10"/>
            <rFont val="Arial"/>
            <family val="2"/>
          </rPr>
          <t>Memória de Cálculo: [(remuneração + benefícios mensais e diários + insumos diversos + encargos sociais e trabalhistas) x (percentual dos custos indiretos)].</t>
        </r>
      </text>
    </comment>
    <comment ref="B107" authorId="0">
      <text>
        <r>
          <rPr>
            <sz val="10"/>
            <rFont val="Arial"/>
            <family val="2"/>
          </rPr>
          <t>O percentual de tributos é aplicado sobre o faturamento</t>
        </r>
      </text>
    </comment>
    <comment ref="C108" authorId="0">
      <text>
        <r>
          <rPr>
            <sz val="10"/>
            <rFont val="Arial"/>
            <family val="2"/>
          </rPr>
          <t>Referência: Os tributos (COFINS e PIS) foram definidos utilizando o regime de tributação de LUCRO REAL.
A licitante deve elaborar sua proposta e, por conseguinte, sua planilha, com base no regime de tributação ao qual estará submetida durante a execução do contrato.</t>
        </r>
      </text>
    </comment>
    <comment ref="D108" authorId="0">
      <text>
        <r>
          <rPr>
            <sz val="10"/>
            <rFont val="Arial"/>
            <family val="2"/>
          </rPr>
          <t>Memória de Cálculo:
Tributos Federais (PIS 1,65% + COFINS 7,60%): { [ (remuneração + benefícios mensais e diários + insumos diversos + encargos sociais e trabalhistas + custos indiretos + lucro) / (1-percentual total dos tributos) ] x (percentual do PIS + COFINS) }</t>
        </r>
      </text>
    </comment>
    <comment ref="C110" authorId="0">
      <text>
        <r>
          <rPr>
            <sz val="10"/>
            <rFont val="Arial"/>
            <family val="2"/>
          </rPr>
          <t>Valor do ISS praticado no Município onde será prestado o serviço.</t>
        </r>
      </text>
    </comment>
    <comment ref="D110" authorId="0">
      <text>
        <r>
          <rPr>
            <sz val="10"/>
            <rFont val="Arial"/>
            <family val="2"/>
          </rPr>
          <t>Memória de Cálculo:
Tributos Municipais (ISSQN): { [ (remuneração + benefícios mensais e diários + insumos diversos + encargos sociais e trabalhistas + custos indiretos + lucro) / (1-percentual total dos tributos) ] x (percentual do ISSQN) }.</t>
        </r>
      </text>
    </comment>
    <comment ref="C112" authorId="0">
      <text>
        <r>
          <rPr>
            <sz val="10"/>
            <rFont val="Arial"/>
            <family val="2"/>
          </rPr>
          <t>Referência: Custos Indiretos e Lucro (vide planilha específica).</t>
        </r>
      </text>
    </comment>
    <comment ref="D112" authorId="1">
      <text>
        <r>
          <rPr>
            <sz val="10"/>
            <rFont val="Arial"/>
            <family val="2"/>
          </rPr>
          <t xml:space="preserve">Memória de Cálculo: [(remuneração + benefícios mensais e diários + insumos diversos + encargos sociais e trabalhistas + custos indiretos) x (percentual do lucro)].
</t>
        </r>
      </text>
    </comment>
  </commentList>
</comments>
</file>

<file path=xl/comments5.xml><?xml version="1.0" encoding="utf-8"?>
<comments xmlns="http://schemas.openxmlformats.org/spreadsheetml/2006/main">
  <authors>
    <author/>
    <author>Fabr?cio Geraldo dos Santos Rodrigues</author>
  </authors>
  <commentList>
    <comment ref="C11" authorId="0">
      <text>
        <r>
          <rPr>
            <sz val="10"/>
            <rFont val="Arial"/>
            <family val="2"/>
          </rPr>
          <t>SEG - SEX: Dias trabalhados = 30,42 dias/mês * (5 dias (seg-sex) / 7 dias por semana) - [12 feriados * (probabilidade de não coincidir com domingo 5/7) / 12 meses] = 21,01 dias/mês</t>
        </r>
      </text>
    </comment>
    <comment ref="C19" authorId="0">
      <text>
        <r>
          <rPr>
            <sz val="10"/>
            <rFont val="Arial"/>
            <family val="2"/>
          </rPr>
          <t>2ª Faixa Salarial CCT 2017. Considerando que a Jornada de trabalho será de 40 horas, e que a CCT disciplina uma jornada de 44 horas, é necessário realizar a conversão do salário base de 44 horas para 40 horas, conforme memória de cálculo abaixo:
Salário base = (salário da CCT / 44) * 40</t>
        </r>
      </text>
    </comment>
    <comment ref="C20" authorId="0">
      <text>
        <r>
          <rPr>
            <sz val="10"/>
            <rFont val="Arial"/>
            <family val="2"/>
          </rPr>
          <t>Não se aplica</t>
        </r>
      </text>
    </comment>
    <comment ref="C21" authorId="0">
      <text>
        <r>
          <rPr>
            <sz val="10"/>
            <rFont val="Arial"/>
            <family val="2"/>
          </rPr>
          <t>Não se aplica</t>
        </r>
      </text>
    </comment>
    <comment ref="C22" authorId="0">
      <text>
        <r>
          <rPr>
            <sz val="10"/>
            <rFont val="Arial"/>
            <family val="2"/>
          </rPr>
          <t>Não se aplica.</t>
        </r>
      </text>
    </comment>
    <comment ref="C23" authorId="0">
      <text>
        <r>
          <rPr>
            <sz val="10"/>
            <rFont val="Arial"/>
            <family val="2"/>
          </rPr>
          <t>Não se aplica</t>
        </r>
      </text>
    </comment>
    <comment ref="C24" authorId="0">
      <text>
        <r>
          <rPr>
            <sz val="10"/>
            <rFont val="Arial"/>
            <family val="2"/>
          </rPr>
          <t xml:space="preserve">Jornada dos funcionários acompanha os dias úteis da instituição onde trabalha. </t>
        </r>
      </text>
    </comment>
    <comment ref="C25" authorId="0">
      <text>
        <r>
          <rPr>
            <sz val="10"/>
            <rFont val="Arial"/>
            <family val="2"/>
          </rPr>
          <t>Não se aplica</t>
        </r>
      </text>
    </comment>
    <comment ref="C26" authorId="0">
      <text>
        <r>
          <rPr>
            <sz val="10"/>
            <rFont val="Arial"/>
            <family val="2"/>
          </rPr>
          <t>Gratificação por Assiduidade prevista na 2ª Faixa Salarial da CCT 2017. Considerando que a Jornada de trabalho será de 40 horas, e que a CCT disciplina uma jornada de 44 horas, é necessário realizar a conversão da gratificação de assiduidade de 44 horas para 40 horas, conforme memória de cálculo abaixo:
Gratificação de assiduidade = (gratificação da CCT / 44) * 40</t>
        </r>
      </text>
    </comment>
    <comment ref="C31" authorId="0">
      <text>
        <r>
          <rPr>
            <sz val="10"/>
            <rFont val="Arial"/>
            <family val="2"/>
          </rPr>
          <t>Memória de Cálculo: (Valor de uma passagem) * 2/dia * Qtde dias trabalhados/mês) - (Salario Base * 6%)</t>
        </r>
      </text>
    </comment>
    <comment ref="C32" authorId="0">
      <text>
        <r>
          <rPr>
            <sz val="10"/>
            <rFont val="Arial"/>
            <family val="2"/>
          </rPr>
          <t>CCT 2017 (12ª §1º) define R$ 14,00/dia com possibilidade de descontar até 20% desse valor como contribuição do funcionário (§3º, regra do PAT). 
Cálculo: (R$ 14,00 - 20%) * 21,01 dias (Dias trabalhados no mês de segunda a sexta)</t>
        </r>
      </text>
    </comment>
    <comment ref="C33" authorId="0">
      <text>
        <r>
          <rPr>
            <sz val="10"/>
            <rFont val="Arial"/>
            <family val="2"/>
          </rPr>
          <t>Não se aplica</t>
        </r>
      </text>
    </comment>
    <comment ref="C34" authorId="0">
      <text>
        <r>
          <rPr>
            <sz val="10"/>
            <rFont val="Arial"/>
            <family val="2"/>
          </rPr>
          <t>Não se aplica</t>
        </r>
      </text>
    </comment>
    <comment ref="C35" authorId="0">
      <text>
        <r>
          <rPr>
            <sz val="10"/>
            <rFont val="Arial"/>
            <family val="2"/>
          </rPr>
          <t>Parágrafo 1º da Cláusula Trigésima Oitava</t>
        </r>
        <r>
          <rPr>
            <sz val="10"/>
            <rFont val="Arial"/>
            <family val="2"/>
          </rPr>
          <t xml:space="preserve"> (DO PROGRAMA DE CONTROLE MÉDICO DE SAÚDE 
OCUPACIONAL) da CCT 2017.</t>
        </r>
      </text>
    </comment>
    <comment ref="C36" authorId="0">
      <text>
        <r>
          <rPr>
            <sz val="10"/>
            <rFont val="Arial"/>
            <family val="2"/>
          </rPr>
          <t>Conforme §1º da Cláusula Décima Terceira da CCT 2017.</t>
        </r>
      </text>
    </comment>
    <comment ref="C41" authorId="0">
      <text>
        <r>
          <rPr>
            <sz val="10"/>
            <rFont val="Arial"/>
            <family val="2"/>
          </rPr>
          <t>Referência: Custo Mensal de Uniformes (vide planilha específica)</t>
        </r>
      </text>
    </comment>
    <comment ref="C42" authorId="0">
      <text>
        <r>
          <rPr>
            <sz val="10"/>
            <rFont val="Arial"/>
            <family val="2"/>
          </rPr>
          <t>Não se aplica.</t>
        </r>
      </text>
    </comment>
    <comment ref="D48" authorId="0">
      <text>
        <r>
          <rPr>
            <sz val="10"/>
            <rFont val="Arial"/>
            <family val="2"/>
          </rPr>
          <t>Art. 22, Inciso I, da Lei nº 8.212/91.</t>
        </r>
      </text>
    </comment>
    <comment ref="D49" authorId="0">
      <text>
        <r>
          <rPr>
            <sz val="10"/>
            <rFont val="Arial"/>
            <family val="2"/>
          </rPr>
          <t>Art. 3º, Lei n.º 8.036/90.</t>
        </r>
      </text>
    </comment>
    <comment ref="D50" authorId="0">
      <text>
        <r>
          <rPr>
            <sz val="10"/>
            <rFont val="Arial"/>
            <family val="2"/>
          </rPr>
          <t>Decreto n.º 2.318/86</t>
        </r>
      </text>
    </comment>
    <comment ref="D51" authorId="0">
      <text>
        <r>
          <rPr>
            <sz val="10"/>
            <rFont val="Arial"/>
            <family val="2"/>
          </rPr>
          <t>Lei n.º 7.787/89 e DL n.º 1.146/70.</t>
        </r>
      </text>
    </comment>
    <comment ref="D52" authorId="0">
      <text>
        <r>
          <rPr>
            <sz val="10"/>
            <rFont val="Arial"/>
            <family val="2"/>
          </rPr>
          <t>Art. 3º, Inciso I, Decreto n.º 87.043/82.</t>
        </r>
      </text>
    </comment>
    <comment ref="D53" authorId="0">
      <text>
        <r>
          <rPr>
            <sz val="10"/>
            <rFont val="Arial"/>
            <family val="2"/>
          </rPr>
          <t>Art. 15, Lei nº 8.030/90 e Art. 7º, III, CF.</t>
        </r>
      </text>
    </comment>
    <comment ref="D54" authorId="0">
      <text>
        <r>
          <rPr>
            <sz val="10"/>
            <rFont val="Arial"/>
            <family val="2"/>
          </rPr>
          <t>RAT x FAP. 
1) RAT = 3% (Cantinas - serviços de alimentação privativos - código 5620-1/03 do Anexo V do Decreto n.º 3.048/1999). 
2) FAP = Máximo de Fator de Acidente Previdenciário = 2:
3% x 2 = 6% (maior valor possível)
A empresa deve utilizar o seu FAP efetivo, a ser comprovado no envio de sua proposta adequada ao lance vencedor, mediante apresentação da GFIP ou outro documento apto a fazê-lo.</t>
        </r>
      </text>
    </comment>
    <comment ref="D55" authorId="0">
      <text>
        <r>
          <rPr>
            <sz val="10"/>
            <rFont val="Arial"/>
            <family val="2"/>
          </rPr>
          <t>Art. 8º, Lei n.º 8.029/90 e Lei n.º 8.154/90.</t>
        </r>
      </text>
    </comment>
    <comment ref="C61" authorId="0">
      <text>
        <r>
          <rPr>
            <sz val="10"/>
            <rFont val="Arial"/>
            <family val="2"/>
          </rPr>
          <t>13º= Uma remuneração anual
Cálculo= 1/12 = 8,33%</t>
        </r>
      </text>
    </comment>
    <comment ref="C62" authorId="0">
      <text>
        <r>
          <rPr>
            <sz val="10"/>
            <rFont val="Arial"/>
            <family val="2"/>
          </rPr>
          <t>Adicional de Férias = 1/3 da Remuneração.
Cálculo=(1/3)/12 = 2,78%</t>
        </r>
      </text>
    </comment>
    <comment ref="C64" authorId="0">
      <text>
        <r>
          <rPr>
            <sz val="10"/>
            <rFont val="Arial"/>
            <family val="2"/>
          </rPr>
          <t>Encargos Previdenciários e FGTS sobre 13º e Adicional de Férias.
Subtotal 4.2 * Percentual Total Modulo 4.1</t>
        </r>
      </text>
    </comment>
    <comment ref="C69" authorId="0">
      <text>
        <r>
          <rPr>
            <sz val="10"/>
            <rFont val="Arial"/>
            <family val="2"/>
          </rPr>
          <t>Referência: Caderno Tecnico MPOG Limpeza MT 2015, pg 43:
Valores pagos durante a Licença: 
[Adicional Férias (provisão mensal) + 13º Salário (provisão mensal) +  Seguro de Vida] * 4 meses de licença * 61,81% de mulheres na atividade (Caderno Tecnico MPOG Limpeza MT 2015, pg 43) * 6,06% de taxa de maternidade em MT (Caderno Tecnico MPOG Limpeza MT 2011, pg 52).
Esse valor deve ser dividido por 12, para refletir o custo mensal.</t>
        </r>
      </text>
    </comment>
    <comment ref="C70" authorId="0">
      <text>
        <r>
          <rPr>
            <sz val="10"/>
            <rFont val="Arial"/>
            <family val="2"/>
          </rPr>
          <t>Encargos Previdenciários e FGTS sobre Afastamento Maternidade.
Subtotal 4.3 * Percentual Total Modulo 4.1</t>
        </r>
      </text>
    </comment>
    <comment ref="C75" authorId="0">
      <text>
        <r>
          <rPr>
            <sz val="10"/>
            <rFont val="Arial"/>
            <family val="2"/>
          </rPr>
          <t>{[0,05 x (1/12)] x100} = 0,417%
Considerando 5% de empregados substituídos durante o contrato</t>
        </r>
      </text>
    </comment>
    <comment ref="C76" authorId="0">
      <text>
        <r>
          <rPr>
            <sz val="10"/>
            <rFont val="Arial"/>
            <family val="2"/>
          </rPr>
          <t>Aviso prévio indenizado * Percentual Total do Submódulo 4.1</t>
        </r>
      </text>
    </comment>
    <comment ref="C77" authorId="0">
      <text>
        <r>
          <rPr>
            <sz val="10"/>
            <rFont val="Arial"/>
            <family val="2"/>
          </rPr>
          <t>Remuneração * (8% de FGTS) * 50% de multa do FGTS * 5% de funcionários demitidos com aviso prévio indenizado</t>
        </r>
      </text>
    </comment>
    <comment ref="C78" authorId="0">
      <text>
        <r>
          <rPr>
            <sz val="10"/>
            <rFont val="Arial"/>
            <family val="2"/>
          </rPr>
          <t>{[(7/30)/12]x100} = 1,944%
7 dias de folga / 30 dias / 12 meses (vigência inicial do contrato) = provisão mensal para esse item de custo * remuneração mensal</t>
        </r>
      </text>
    </comment>
    <comment ref="C79" authorId="0">
      <text>
        <r>
          <rPr>
            <sz val="10"/>
            <rFont val="Arial"/>
            <family val="2"/>
          </rPr>
          <t>Aviso prévio trabalhado * Percentual Total do Submódulo 4.1</t>
        </r>
      </text>
    </comment>
    <comment ref="C80" authorId="0">
      <text>
        <r>
          <rPr>
            <sz val="10"/>
            <rFont val="Arial"/>
            <family val="2"/>
          </rPr>
          <t>Remuneração * (8% de FGTS) * 50% de multa do FGTS</t>
        </r>
      </text>
    </comment>
    <comment ref="C85" authorId="0">
      <text>
        <r>
          <rPr>
            <sz val="10"/>
            <rFont val="Arial"/>
            <family val="2"/>
          </rPr>
          <t>01 Remuneração / 12 meses = 8,33%</t>
        </r>
      </text>
    </comment>
    <comment ref="C86" authorId="0">
      <text>
        <r>
          <rPr>
            <sz val="10"/>
            <rFont val="Arial"/>
            <family val="2"/>
          </rPr>
          <t>Manual de Preenchimento de Planilhas do MPOG 2011 (pg 27): 1,66%</t>
        </r>
      </text>
    </comment>
    <comment ref="C87" authorId="0">
      <text>
        <r>
          <rPr>
            <sz val="10"/>
            <rFont val="Arial"/>
            <family val="2"/>
          </rPr>
          <t>Manual de Preenchimento de Planilhas do MPOG 2011 (pg 27): 0,2%</t>
        </r>
      </text>
    </comment>
    <comment ref="C88" authorId="0">
      <text>
        <r>
          <rPr>
            <sz val="10"/>
            <rFont val="Arial"/>
            <family val="2"/>
          </rPr>
          <t>Acordao TCU 1753-2008: Calcula, segundo estimativas do MPOG, em 2,96 dias por ano as ausências legais, calculando em 0,82% o impacto sobre a remuneração.
Cálculo= (2,96/30)/12.</t>
        </r>
      </text>
    </comment>
    <comment ref="C89" authorId="0">
      <text>
        <r>
          <rPr>
            <sz val="10"/>
            <rFont val="Arial"/>
            <family val="2"/>
          </rPr>
          <t>Manual de Preenchimento de Planilhas do MPOG 2011 (pg 28): 0,03%</t>
        </r>
      </text>
    </comment>
    <comment ref="C91" authorId="0">
      <text>
        <r>
          <rPr>
            <sz val="10"/>
            <rFont val="Arial"/>
            <family val="2"/>
          </rPr>
          <t>Soma do Custo de Reposição * Percentual total de submódulo 4.1</t>
        </r>
      </text>
    </comment>
    <comment ref="C106" authorId="0">
      <text>
        <r>
          <rPr>
            <sz val="10"/>
            <rFont val="Arial"/>
            <family val="2"/>
          </rPr>
          <t xml:space="preserve">Referência: Custos Indiretos e Lucro (vide planilha específica).
</t>
        </r>
      </text>
    </comment>
    <comment ref="D106" authorId="0">
      <text>
        <r>
          <rPr>
            <sz val="10"/>
            <rFont val="Arial"/>
            <family val="2"/>
          </rPr>
          <t>Memória de Cálculo: [(remuneração + benefícios mensais e diários + insumos diversos + encargos sociais e trabalhistas) x (percentual dos custos indiretos)].</t>
        </r>
      </text>
    </comment>
    <comment ref="B107" authorId="0">
      <text>
        <r>
          <rPr>
            <sz val="10"/>
            <rFont val="Arial"/>
            <family val="2"/>
          </rPr>
          <t>O percentual de tributos é aplicado sobre o faturamento</t>
        </r>
      </text>
    </comment>
    <comment ref="C108" authorId="0">
      <text>
        <r>
          <rPr>
            <sz val="10"/>
            <rFont val="Arial"/>
            <family val="2"/>
          </rPr>
          <t>Referência: Os tributos (COFINS e PIS) foram definidos utilizando o regime de tributação de LUCRO REAL.
A licitante deve elaborar sua proposta e, por conseguinte, sua planilha, com base no regime de tributação ao qual estará submetida durante a execução do contrato.</t>
        </r>
      </text>
    </comment>
    <comment ref="D108" authorId="0">
      <text>
        <r>
          <rPr>
            <sz val="10"/>
            <rFont val="Arial"/>
            <family val="2"/>
          </rPr>
          <t>Memória de Cálculo:
Tributos Federais (PIS 1,65% + COFINS 7,60%): { [ (remuneração + benefícios mensais e diários + insumos diversos + encargos sociais e trabalhistas + custos indiretos + lucro) / (1-percentual total dos tributos) ] x (percentual do PIS + COFINS) }</t>
        </r>
      </text>
    </comment>
    <comment ref="C110" authorId="0">
      <text>
        <r>
          <rPr>
            <sz val="10"/>
            <rFont val="Arial"/>
            <family val="2"/>
          </rPr>
          <t>Valor do ISS praticado no Município onde será prestado o serviço.</t>
        </r>
      </text>
    </comment>
    <comment ref="D110" authorId="0">
      <text>
        <r>
          <rPr>
            <sz val="10"/>
            <rFont val="Arial"/>
            <family val="2"/>
          </rPr>
          <t>Memória de Cálculo:
Tributos Municipais (ISSQN): { [ (remuneração + benefícios mensais e diários + insumos diversos + encargos sociais e trabalhistas + custos indiretos + lucro) / (1-percentual total dos tributos) ] x (percentual do ISSQN) }.</t>
        </r>
      </text>
    </comment>
    <comment ref="C112" authorId="0">
      <text>
        <r>
          <rPr>
            <sz val="10"/>
            <rFont val="Arial"/>
            <family val="2"/>
          </rPr>
          <t>Referência: Custos Indiretos e Lucro (vide planilha específica).</t>
        </r>
      </text>
    </comment>
    <comment ref="D112" authorId="1">
      <text>
        <r>
          <rPr>
            <sz val="10"/>
            <rFont val="Arial"/>
            <family val="2"/>
          </rPr>
          <t xml:space="preserve">Memória de Cálculo: [(remuneração + benefícios mensais e diários + insumos diversos + encargos sociais e trabalhistas + custos indiretos) x (percentual do lucro)].
</t>
        </r>
      </text>
    </comment>
  </commentList>
</comments>
</file>

<file path=xl/comments6.xml><?xml version="1.0" encoding="utf-8"?>
<comments xmlns="http://schemas.openxmlformats.org/spreadsheetml/2006/main">
  <authors>
    <author/>
    <author>Fabr?cio Geraldo dos Santos Rodrigues</author>
  </authors>
  <commentList>
    <comment ref="C11" authorId="0">
      <text>
        <r>
          <rPr>
            <sz val="10"/>
            <rFont val="Arial"/>
            <family val="2"/>
          </rPr>
          <t>SEG - SEX: Dias trabalhados = 30,42 dias/mês * (5 dias (seg-sex) / 7 dias por semana) - [12 feriados * (probabilidade de não coincidir com domingo 5/7) / 12 meses] = 21,01 dias/mês</t>
        </r>
      </text>
    </comment>
    <comment ref="C19" authorId="0">
      <text>
        <r>
          <rPr>
            <sz val="10"/>
            <rFont val="Arial"/>
            <family val="2"/>
          </rPr>
          <t>2ª Faixa Salarial CCT 2017. Considerando que a Jornada de trabalho será de 40 horas, e que a CCT disciplina uma jornada de 44 horas, é necessário realizar a conversão do salário base de 44 horas para 40 horas, conforme memória de cálculo abaixo:
Salário base = (salário da CCT / 44) * 40</t>
        </r>
      </text>
    </comment>
    <comment ref="C20" authorId="0">
      <text>
        <r>
          <rPr>
            <sz val="10"/>
            <rFont val="Arial"/>
            <family val="2"/>
          </rPr>
          <t>Não se aplica</t>
        </r>
      </text>
    </comment>
    <comment ref="C21" authorId="0">
      <text>
        <r>
          <rPr>
            <sz val="10"/>
            <rFont val="Arial"/>
            <family val="2"/>
          </rPr>
          <t>Não se aplica</t>
        </r>
      </text>
    </comment>
    <comment ref="C22" authorId="0">
      <text>
        <r>
          <rPr>
            <sz val="10"/>
            <rFont val="Arial"/>
            <family val="2"/>
          </rPr>
          <t>Não se aplica.</t>
        </r>
      </text>
    </comment>
    <comment ref="C23" authorId="0">
      <text>
        <r>
          <rPr>
            <sz val="10"/>
            <rFont val="Arial"/>
            <family val="2"/>
          </rPr>
          <t>Não se aplica</t>
        </r>
      </text>
    </comment>
    <comment ref="C24" authorId="0">
      <text>
        <r>
          <rPr>
            <sz val="10"/>
            <rFont val="Arial"/>
            <family val="2"/>
          </rPr>
          <t xml:space="preserve">Jornada dos funcionários acompanha os dias úteis da instituição onde trabalha. </t>
        </r>
      </text>
    </comment>
    <comment ref="C25" authorId="0">
      <text>
        <r>
          <rPr>
            <sz val="10"/>
            <rFont val="Arial"/>
            <family val="2"/>
          </rPr>
          <t>Não se aplica</t>
        </r>
      </text>
    </comment>
    <comment ref="C26" authorId="0">
      <text>
        <r>
          <rPr>
            <sz val="10"/>
            <rFont val="Arial"/>
            <family val="2"/>
          </rPr>
          <t>Gratificação por Assiduidade prevista na 2ª Faixa Salarial da CCT 2017. Considerando que a Jornada de trabalho será de 40 horas, e que a CCT disciplina uma jornada de 44 horas, é necessário realizar a conversão da gratificação de assiduidade de 44 horas para 40 horas, conforme memória de cálculo abaixo:
Gratificação de assiduidade = (gratificação da CCT / 44) * 40</t>
        </r>
      </text>
    </comment>
    <comment ref="C31" authorId="0">
      <text>
        <r>
          <rPr>
            <sz val="10"/>
            <rFont val="Arial"/>
            <family val="2"/>
          </rPr>
          <t>Memória de Cálculo: (Valor de uma passagem) * 2/dia * Qtde dias trabalhados/mês) - (Salario Base * 6%)</t>
        </r>
      </text>
    </comment>
    <comment ref="C32" authorId="0">
      <text>
        <r>
          <rPr>
            <sz val="10"/>
            <rFont val="Arial"/>
            <family val="2"/>
          </rPr>
          <t>CCT 2017 (12ª §1º) define R$ 14,00/dia com possibilidade de descontar até 20% desse valor como contribuição do funcionário (§3º, regra do PAT). 
Cálculo: (R$ 14,00 - 20%) * 21,01 dias (Dias trabalhados no mês de segunda a sexta)</t>
        </r>
      </text>
    </comment>
    <comment ref="C33" authorId="0">
      <text>
        <r>
          <rPr>
            <sz val="10"/>
            <rFont val="Arial"/>
            <family val="2"/>
          </rPr>
          <t>Não se aplica</t>
        </r>
      </text>
    </comment>
    <comment ref="C34" authorId="0">
      <text>
        <r>
          <rPr>
            <sz val="10"/>
            <rFont val="Arial"/>
            <family val="2"/>
          </rPr>
          <t>Não se aplica</t>
        </r>
      </text>
    </comment>
    <comment ref="C35" authorId="0">
      <text>
        <r>
          <rPr>
            <sz val="10"/>
            <rFont val="Arial"/>
            <family val="2"/>
          </rPr>
          <t>Parágrafo 1º da Cláusula Trigésima Oitava</t>
        </r>
        <r>
          <rPr>
            <sz val="10"/>
            <rFont val="Arial"/>
            <family val="2"/>
          </rPr>
          <t xml:space="preserve"> (DO PROGRAMA DE CONTROLE MÉDICO DE SAÚDE 
OCUPACIONAL) da CCT 2017.</t>
        </r>
      </text>
    </comment>
    <comment ref="C36" authorId="0">
      <text>
        <r>
          <rPr>
            <sz val="10"/>
            <rFont val="Arial"/>
            <family val="2"/>
          </rPr>
          <t>Conforme §1º da Cláusula Décima Terceira da CCT 2017.</t>
        </r>
      </text>
    </comment>
    <comment ref="C41" authorId="0">
      <text>
        <r>
          <rPr>
            <sz val="10"/>
            <rFont val="Arial"/>
            <family val="2"/>
          </rPr>
          <t>Referência: Custo Mensal de Uniformes (vide planilha específica)</t>
        </r>
      </text>
    </comment>
    <comment ref="C42" authorId="0">
      <text>
        <r>
          <rPr>
            <sz val="10"/>
            <rFont val="Arial"/>
            <family val="2"/>
          </rPr>
          <t>Não se aplica.</t>
        </r>
      </text>
    </comment>
    <comment ref="D48" authorId="0">
      <text>
        <r>
          <rPr>
            <sz val="10"/>
            <rFont val="Arial"/>
            <family val="2"/>
          </rPr>
          <t>Art. 22, Inciso I, da Lei nº 8.212/91.</t>
        </r>
      </text>
    </comment>
    <comment ref="D49" authorId="0">
      <text>
        <r>
          <rPr>
            <sz val="10"/>
            <rFont val="Arial"/>
            <family val="2"/>
          </rPr>
          <t>Art. 3º, Lei n.º 8.036/90.</t>
        </r>
      </text>
    </comment>
    <comment ref="D50" authorId="0">
      <text>
        <r>
          <rPr>
            <sz val="10"/>
            <rFont val="Arial"/>
            <family val="2"/>
          </rPr>
          <t>Decreto n.º 2.318/86</t>
        </r>
      </text>
    </comment>
    <comment ref="D51" authorId="0">
      <text>
        <r>
          <rPr>
            <sz val="10"/>
            <rFont val="Arial"/>
            <family val="2"/>
          </rPr>
          <t>Lei n.º 7.787/89 e DL n.º 1.146/70.</t>
        </r>
      </text>
    </comment>
    <comment ref="D52" authorId="0">
      <text>
        <r>
          <rPr>
            <sz val="10"/>
            <rFont val="Arial"/>
            <family val="2"/>
          </rPr>
          <t>Art. 3º, Inciso I, Decreto n.º 87.043/82.</t>
        </r>
      </text>
    </comment>
    <comment ref="D53" authorId="0">
      <text>
        <r>
          <rPr>
            <sz val="10"/>
            <rFont val="Arial"/>
            <family val="2"/>
          </rPr>
          <t>Art. 15, Lei nº 8.030/90 e Art. 7º, III, CF.</t>
        </r>
      </text>
    </comment>
    <comment ref="D54" authorId="0">
      <text>
        <r>
          <rPr>
            <sz val="10"/>
            <rFont val="Arial"/>
            <family val="2"/>
          </rPr>
          <t>RAT x FAP. 
1) RAT = 3% (Cantinas - serviços de alimentação privativos - código 5620-1/03 do Anexo V do Decreto n.º 3.048/1999). 
2) FAP = Máximo de Fator de Acidente Previdenciário = 2:
3% x 2 = 6% (maior valor possível)
A empresa deve utilizar o seu FAP efetivo, a ser comprovado no envio de sua proposta adequada ao lance vencedor, mediante apresentação da GFIP ou outro documento apto a fazê-lo.</t>
        </r>
      </text>
    </comment>
    <comment ref="D55" authorId="0">
      <text>
        <r>
          <rPr>
            <sz val="10"/>
            <rFont val="Arial"/>
            <family val="2"/>
          </rPr>
          <t>Art. 8º, Lei n.º 8.029/90 e Lei n.º 8.154/90.</t>
        </r>
      </text>
    </comment>
    <comment ref="C61" authorId="0">
      <text>
        <r>
          <rPr>
            <sz val="10"/>
            <rFont val="Arial"/>
            <family val="2"/>
          </rPr>
          <t>13º= Uma remuneração anual
Cálculo= 1/12 = 8,33%</t>
        </r>
      </text>
    </comment>
    <comment ref="C62" authorId="0">
      <text>
        <r>
          <rPr>
            <sz val="10"/>
            <rFont val="Arial"/>
            <family val="2"/>
          </rPr>
          <t>Adicional de Férias = 1/3 da Remuneração.
Cálculo=(1/3)/12 = 2,78%</t>
        </r>
      </text>
    </comment>
    <comment ref="C64" authorId="0">
      <text>
        <r>
          <rPr>
            <sz val="10"/>
            <rFont val="Arial"/>
            <family val="2"/>
          </rPr>
          <t>Encargos Previdenciários e FGTS sobre 13º e Adicional de Férias.
Subtotal 4.2 * Percentual Total Modulo 4.1</t>
        </r>
      </text>
    </comment>
    <comment ref="C69" authorId="0">
      <text>
        <r>
          <rPr>
            <sz val="10"/>
            <rFont val="Arial"/>
            <family val="2"/>
          </rPr>
          <t>Referência: Caderno Tecnico MPOG Limpeza MT 2015, pg 43:
Valores pagos durante a Licença: 
[Adicional Férias (provisão mensal) + 13º Salário (provisão mensal) +  Seguro de Vida] * 4 meses de licença * 61,81% de mulheres na atividade (Caderno Tecnico MPOG Limpeza MT 2015, pg 43) * 6,06% de taxa de maternidade em MT (Caderno Tecnico MPOG Limpeza MT 2011, pg 52).
Esse valor deve ser dividido por 12, para refletir o custo mensal.</t>
        </r>
      </text>
    </comment>
    <comment ref="C70" authorId="0">
      <text>
        <r>
          <rPr>
            <sz val="10"/>
            <rFont val="Arial"/>
            <family val="2"/>
          </rPr>
          <t>Encargos Previdenciários e FGTS sobre Afastamento Maternidade.
Subtotal 4.3 * Percentual Total Modulo 4.1</t>
        </r>
      </text>
    </comment>
    <comment ref="C75" authorId="0">
      <text>
        <r>
          <rPr>
            <sz val="10"/>
            <rFont val="Arial"/>
            <family val="2"/>
          </rPr>
          <t>{[0,05 x (1/12)] x100} = 0,417%
Considerando 5% de empregados substituídos durante o contrato</t>
        </r>
      </text>
    </comment>
    <comment ref="C76" authorId="0">
      <text>
        <r>
          <rPr>
            <sz val="10"/>
            <rFont val="Arial"/>
            <family val="2"/>
          </rPr>
          <t>Aviso prévio indenizado * Percentual Total do Submódulo 4.1</t>
        </r>
      </text>
    </comment>
    <comment ref="C77" authorId="0">
      <text>
        <r>
          <rPr>
            <sz val="10"/>
            <rFont val="Arial"/>
            <family val="2"/>
          </rPr>
          <t>Remuneração * (8% de FGTS) * 50% de multa do FGTS * 5% de funcionários demitidos com aviso prévio indenizado</t>
        </r>
      </text>
    </comment>
    <comment ref="C78" authorId="0">
      <text>
        <r>
          <rPr>
            <sz val="10"/>
            <rFont val="Arial"/>
            <family val="2"/>
          </rPr>
          <t>{[(7/30)/12]x100} = 1,944%
7 dias de folga / 30 dias / 12 meses (vigência inicial do contrato) = provisão mensal para esse item de custo * remuneração mensal</t>
        </r>
      </text>
    </comment>
    <comment ref="C79" authorId="0">
      <text>
        <r>
          <rPr>
            <sz val="10"/>
            <rFont val="Arial"/>
            <family val="2"/>
          </rPr>
          <t>Aviso prévio trabalhado * Percentual Total do Submódulo 4.1</t>
        </r>
      </text>
    </comment>
    <comment ref="C80" authorId="0">
      <text>
        <r>
          <rPr>
            <sz val="10"/>
            <rFont val="Arial"/>
            <family val="2"/>
          </rPr>
          <t>Remuneração * (8% de FGTS) * 50% de multa do FGTS</t>
        </r>
      </text>
    </comment>
    <comment ref="C85" authorId="0">
      <text>
        <r>
          <rPr>
            <sz val="10"/>
            <rFont val="Arial"/>
            <family val="2"/>
          </rPr>
          <t>01 Remuneração / 12 meses = 8,33%</t>
        </r>
      </text>
    </comment>
    <comment ref="C86" authorId="0">
      <text>
        <r>
          <rPr>
            <sz val="10"/>
            <rFont val="Arial"/>
            <family val="2"/>
          </rPr>
          <t>Manual de Preenchimento de Planilhas do MPOG 2011 (pg 27): 1,66%</t>
        </r>
      </text>
    </comment>
    <comment ref="C87" authorId="0">
      <text>
        <r>
          <rPr>
            <sz val="10"/>
            <rFont val="Arial"/>
            <family val="2"/>
          </rPr>
          <t>Manual de Preenchimento de Planilhas do MPOG 2011 (pg 27): 0,2%</t>
        </r>
      </text>
    </comment>
    <comment ref="C88" authorId="0">
      <text>
        <r>
          <rPr>
            <sz val="10"/>
            <rFont val="Arial"/>
            <family val="2"/>
          </rPr>
          <t>Acordao TCU 1753-2008: Calcula, segundo estimativas do MPOG, em 2,96 dias por ano as ausências legais, calculando em 0,82% o impacto sobre a remuneração.
Cálculo= (2,96/30)/12.</t>
        </r>
      </text>
    </comment>
    <comment ref="C89" authorId="0">
      <text>
        <r>
          <rPr>
            <sz val="10"/>
            <rFont val="Arial"/>
            <family val="2"/>
          </rPr>
          <t>Manual de Preenchimento de Planilhas do MPOG 2011 (pg 28): 0,03%</t>
        </r>
      </text>
    </comment>
    <comment ref="C91" authorId="0">
      <text>
        <r>
          <rPr>
            <sz val="10"/>
            <rFont val="Arial"/>
            <family val="2"/>
          </rPr>
          <t>Soma do Custo de Reposição * Percentual total de submódulo 4.1</t>
        </r>
      </text>
    </comment>
    <comment ref="C106" authorId="0">
      <text>
        <r>
          <rPr>
            <sz val="10"/>
            <rFont val="Arial"/>
            <family val="2"/>
          </rPr>
          <t xml:space="preserve">Referência: Custos Indiretos e Lucro (vide planilha específica).
</t>
        </r>
      </text>
    </comment>
    <comment ref="D106" authorId="0">
      <text>
        <r>
          <rPr>
            <sz val="10"/>
            <rFont val="Arial"/>
            <family val="2"/>
          </rPr>
          <t>Memória de Cálculo: [(remuneração + benefícios mensais e diários + insumos diversos + encargos sociais e trabalhistas) x (percentual dos custos indiretos)].</t>
        </r>
      </text>
    </comment>
    <comment ref="B107" authorId="0">
      <text>
        <r>
          <rPr>
            <sz val="10"/>
            <rFont val="Arial"/>
            <family val="2"/>
          </rPr>
          <t>O percentual de tributos é aplicado sobre o faturamento</t>
        </r>
      </text>
    </comment>
    <comment ref="C108" authorId="0">
      <text>
        <r>
          <rPr>
            <sz val="10"/>
            <rFont val="Arial"/>
            <family val="2"/>
          </rPr>
          <t>Referência: Os tributos (COFINS e PIS) foram definidos utilizando o regime de tributação de LUCRO REAL.
A licitante deve elaborar sua proposta e, por conseguinte, sua planilha, com base no regime de tributação ao qual estará submetida durante a execução do contrato.</t>
        </r>
      </text>
    </comment>
    <comment ref="D108" authorId="0">
      <text>
        <r>
          <rPr>
            <sz val="10"/>
            <rFont val="Arial"/>
            <family val="2"/>
          </rPr>
          <t>Memória de Cálculo:
Tributos Federais (PIS 1,65% + COFINS 7,60%): { [ (remuneração + benefícios mensais e diários + insumos diversos + encargos sociais e trabalhistas + custos indiretos + lucro) / (1-percentual total dos tributos) ] x (percentual do PIS + COFINS) }</t>
        </r>
      </text>
    </comment>
    <comment ref="C110" authorId="0">
      <text>
        <r>
          <rPr>
            <sz val="10"/>
            <rFont val="Arial"/>
            <family val="2"/>
          </rPr>
          <t>Valor do ISS praticado no Município onde será prestado o serviço.</t>
        </r>
      </text>
    </comment>
    <comment ref="D110" authorId="0">
      <text>
        <r>
          <rPr>
            <sz val="10"/>
            <rFont val="Arial"/>
            <family val="2"/>
          </rPr>
          <t>Memória de Cálculo:
Tributos Municipais (ISSQN): { [ (remuneração + benefícios mensais e diários + insumos diversos + encargos sociais e trabalhistas + custos indiretos + lucro) / (1-percentual total dos tributos) ] x (percentual do ISSQN) }.</t>
        </r>
      </text>
    </comment>
    <comment ref="C112" authorId="0">
      <text>
        <r>
          <rPr>
            <sz val="10"/>
            <rFont val="Arial"/>
            <family val="2"/>
          </rPr>
          <t>Referência: Custos Indiretos e Lucro (vide planilha específica).</t>
        </r>
      </text>
    </comment>
    <comment ref="D112" authorId="1">
      <text>
        <r>
          <rPr>
            <sz val="10"/>
            <rFont val="Arial"/>
            <family val="2"/>
          </rPr>
          <t xml:space="preserve">Memória de Cálculo: [(remuneração + benefícios mensais e diários + insumos diversos + encargos sociais e trabalhistas + custos indiretos) x (percentual do lucro)].
</t>
        </r>
      </text>
    </comment>
  </commentList>
</comments>
</file>

<file path=xl/comments7.xml><?xml version="1.0" encoding="utf-8"?>
<comments xmlns="http://schemas.openxmlformats.org/spreadsheetml/2006/main">
  <authors>
    <author/>
    <author>Fabr?cio Geraldo dos Santos Rodrigues</author>
  </authors>
  <commentList>
    <comment ref="C11" authorId="0">
      <text>
        <r>
          <rPr>
            <sz val="10"/>
            <rFont val="Arial"/>
            <family val="2"/>
          </rPr>
          <t>SEG - SEX: Dias trabalhados = 30,42 dias/mês * (5 dias (seg-sex) / 7 dias por semana) - [12 feriados * (probabilidade de não coincidir com domingo 5/7) / 12 meses] = 21,01 dias/mês</t>
        </r>
      </text>
    </comment>
    <comment ref="C19" authorId="0">
      <text>
        <r>
          <rPr>
            <sz val="10"/>
            <rFont val="Arial"/>
            <family val="2"/>
          </rPr>
          <t>2ª Faixa Salarial CCT 2017. Considerando que a Jornada de trabalho será de 40 horas, e que a CCT disciplina uma jornada de 44 horas, é necessário realizar a conversão do salário base de 44 horas para 40 horas, conforme memória de cálculo abaixo:
Salário base = (salário da CCT / 44) * 40</t>
        </r>
      </text>
    </comment>
    <comment ref="C20" authorId="0">
      <text>
        <r>
          <rPr>
            <sz val="10"/>
            <rFont val="Arial"/>
            <family val="2"/>
          </rPr>
          <t>Não se aplica</t>
        </r>
      </text>
    </comment>
    <comment ref="C21" authorId="0">
      <text>
        <r>
          <rPr>
            <sz val="10"/>
            <rFont val="Arial"/>
            <family val="2"/>
          </rPr>
          <t>Não se aplica</t>
        </r>
      </text>
    </comment>
    <comment ref="C22" authorId="0">
      <text>
        <r>
          <rPr>
            <sz val="10"/>
            <rFont val="Arial"/>
            <family val="2"/>
          </rPr>
          <t>Não se aplica.</t>
        </r>
      </text>
    </comment>
    <comment ref="C23" authorId="0">
      <text>
        <r>
          <rPr>
            <sz val="10"/>
            <rFont val="Arial"/>
            <family val="2"/>
          </rPr>
          <t>Não se aplica</t>
        </r>
      </text>
    </comment>
    <comment ref="C24" authorId="0">
      <text>
        <r>
          <rPr>
            <sz val="10"/>
            <rFont val="Arial"/>
            <family val="2"/>
          </rPr>
          <t xml:space="preserve">Jornada dos funcionários acompanha os dias úteis da instituição onde trabalha. </t>
        </r>
      </text>
    </comment>
    <comment ref="C25" authorId="0">
      <text>
        <r>
          <rPr>
            <sz val="10"/>
            <rFont val="Arial"/>
            <family val="2"/>
          </rPr>
          <t>Não se aplica</t>
        </r>
      </text>
    </comment>
    <comment ref="C26" authorId="0">
      <text>
        <r>
          <rPr>
            <sz val="10"/>
            <rFont val="Arial"/>
            <family val="2"/>
          </rPr>
          <t>Gratificação por Assiduidade prevista na 2ª Faixa Salarial da CCT 2017. Considerando que a Jornada de trabalho será de 40 horas, e que a CCT disciplina uma jornada de 44 horas, é necessário realizar a conversão da gratificação de assiduidade de 44 horas para 40 horas, conforme memória de cálculo abaixo:
Gratificação de assiduidade = (gratificação da CCT / 44) * 40</t>
        </r>
      </text>
    </comment>
    <comment ref="C31" authorId="0">
      <text>
        <r>
          <rPr>
            <sz val="10"/>
            <rFont val="Arial"/>
            <family val="2"/>
          </rPr>
          <t>Memória de Cálculo: (Valor de uma passagem) * 2/dia * Qtde dias trabalhados/mês) - (Salario Base * 6%)</t>
        </r>
      </text>
    </comment>
    <comment ref="C32" authorId="0">
      <text>
        <r>
          <rPr>
            <sz val="10"/>
            <rFont val="Arial"/>
            <family val="2"/>
          </rPr>
          <t>CCT 2017 (12ª §1º) define R$ 14,00/dia com possibilidade de descontar até 20% desse valor como contribuição do funcionário (§3º, regra do PAT). 
Cálculo: (R$ 14,00 - 20%) * 21,01 dias (Dias trabalhados no mês de segunda a sexta)</t>
        </r>
      </text>
    </comment>
    <comment ref="C33" authorId="0">
      <text>
        <r>
          <rPr>
            <sz val="10"/>
            <rFont val="Arial"/>
            <family val="2"/>
          </rPr>
          <t>Não se aplica</t>
        </r>
      </text>
    </comment>
    <comment ref="C34" authorId="0">
      <text>
        <r>
          <rPr>
            <sz val="10"/>
            <rFont val="Arial"/>
            <family val="2"/>
          </rPr>
          <t>Não se aplica</t>
        </r>
      </text>
    </comment>
    <comment ref="C35" authorId="0">
      <text>
        <r>
          <rPr>
            <sz val="10"/>
            <rFont val="Arial"/>
            <family val="2"/>
          </rPr>
          <t>Parágrafo 1º da Cláusula Trigésima Oitava</t>
        </r>
        <r>
          <rPr>
            <sz val="10"/>
            <rFont val="Arial"/>
            <family val="2"/>
          </rPr>
          <t xml:space="preserve"> (DO PROGRAMA DE CONTROLE MÉDICO DE SAÚDE 
OCUPACIONAL) da CCT 2017.</t>
        </r>
      </text>
    </comment>
    <comment ref="C36" authorId="0">
      <text>
        <r>
          <rPr>
            <sz val="10"/>
            <rFont val="Arial"/>
            <family val="2"/>
          </rPr>
          <t>Conforme §1º da Cláusula Décima Terceira da CCT 2017.</t>
        </r>
      </text>
    </comment>
    <comment ref="C41" authorId="0">
      <text>
        <r>
          <rPr>
            <sz val="10"/>
            <rFont val="Arial"/>
            <family val="2"/>
          </rPr>
          <t>Referência: Custo Mensal de Uniformes (vide planilha específica)</t>
        </r>
      </text>
    </comment>
    <comment ref="C42" authorId="0">
      <text>
        <r>
          <rPr>
            <sz val="10"/>
            <rFont val="Arial"/>
            <family val="2"/>
          </rPr>
          <t>Não se aplica.</t>
        </r>
      </text>
    </comment>
    <comment ref="D48" authorId="0">
      <text>
        <r>
          <rPr>
            <sz val="10"/>
            <rFont val="Arial"/>
            <family val="2"/>
          </rPr>
          <t>Art. 22, Inciso I, da Lei nº 8.212/91.</t>
        </r>
      </text>
    </comment>
    <comment ref="D49" authorId="0">
      <text>
        <r>
          <rPr>
            <sz val="10"/>
            <rFont val="Arial"/>
            <family val="2"/>
          </rPr>
          <t>Art. 3º, Lei n.º 8.036/90.</t>
        </r>
      </text>
    </comment>
    <comment ref="D50" authorId="0">
      <text>
        <r>
          <rPr>
            <sz val="10"/>
            <rFont val="Arial"/>
            <family val="2"/>
          </rPr>
          <t>Decreto n.º 2.318/86</t>
        </r>
      </text>
    </comment>
    <comment ref="D51" authorId="0">
      <text>
        <r>
          <rPr>
            <sz val="10"/>
            <rFont val="Arial"/>
            <family val="2"/>
          </rPr>
          <t>Lei n.º 7.787/89 e DL n.º 1.146/70.</t>
        </r>
      </text>
    </comment>
    <comment ref="D52" authorId="0">
      <text>
        <r>
          <rPr>
            <sz val="10"/>
            <rFont val="Arial"/>
            <family val="2"/>
          </rPr>
          <t>Art. 3º, Inciso I, Decreto n.º 87.043/82.</t>
        </r>
      </text>
    </comment>
    <comment ref="D53" authorId="0">
      <text>
        <r>
          <rPr>
            <sz val="10"/>
            <rFont val="Arial"/>
            <family val="2"/>
          </rPr>
          <t>Art. 15, Lei nº 8.030/90 e Art. 7º, III, CF.</t>
        </r>
      </text>
    </comment>
    <comment ref="D54" authorId="0">
      <text>
        <r>
          <rPr>
            <sz val="10"/>
            <rFont val="Arial"/>
            <family val="2"/>
          </rPr>
          <t>RAT x FAP. 
1) RAT = 3% (Cantinas - serviços de alimentação privativos - código 5620-1/03 do Anexo V do Decreto n.º 3.048/1999). 
2) FAP = Máximo de Fator de Acidente Previdenciário = 2:
3% x 2 = 6% (maior valor possível)
A empresa deve utilizar o seu FAP efetivo, a ser comprovado no envio de sua proposta adequada ao lance vencedor, mediante apresentação da GFIP ou outro documento apto a fazê-lo.</t>
        </r>
      </text>
    </comment>
    <comment ref="D55" authorId="0">
      <text>
        <r>
          <rPr>
            <sz val="10"/>
            <rFont val="Arial"/>
            <family val="2"/>
          </rPr>
          <t>Art. 8º, Lei n.º 8.029/90 e Lei n.º 8.154/90.</t>
        </r>
      </text>
    </comment>
    <comment ref="C61" authorId="0">
      <text>
        <r>
          <rPr>
            <sz val="10"/>
            <rFont val="Arial"/>
            <family val="2"/>
          </rPr>
          <t>13º= Uma remuneração anual
Cálculo= 1/12 = 8,33%</t>
        </r>
      </text>
    </comment>
    <comment ref="C62" authorId="0">
      <text>
        <r>
          <rPr>
            <sz val="10"/>
            <rFont val="Arial"/>
            <family val="2"/>
          </rPr>
          <t>Adicional de Férias = 1/3 da Remuneração.
Cálculo=(1/3)/12 = 2,78%</t>
        </r>
      </text>
    </comment>
    <comment ref="C64" authorId="0">
      <text>
        <r>
          <rPr>
            <sz val="10"/>
            <rFont val="Arial"/>
            <family val="2"/>
          </rPr>
          <t>Encargos Previdenciários e FGTS sobre 13º e Adicional de Férias.
Subtotal 4.2 * Percentual Total Modulo 4.1</t>
        </r>
      </text>
    </comment>
    <comment ref="C69" authorId="0">
      <text>
        <r>
          <rPr>
            <sz val="10"/>
            <rFont val="Arial"/>
            <family val="2"/>
          </rPr>
          <t>Referência: Caderno Tecnico MPOG Limpeza MT 2015, pg 43:
Valores pagos durante a Licença: 
[Adicional Férias (provisão mensal) + 13º Salário (provisão mensal) +  Seguro de Vida] * 4 meses de licença * 61,81% de mulheres na atividade (Caderno Tecnico MPOG Limpeza MT 2015, pg 43) * 6,06% de taxa de maternidade em MT (Caderno Tecnico MPOG Limpeza MT 2011, pg 52).
Esse valor deve ser dividido por 12, para refletir o custo mensal.</t>
        </r>
      </text>
    </comment>
    <comment ref="C70" authorId="0">
      <text>
        <r>
          <rPr>
            <sz val="10"/>
            <rFont val="Arial"/>
            <family val="2"/>
          </rPr>
          <t>Encargos Previdenciários e FGTS sobre Afastamento Maternidade.
Subtotal 4.3 * Percentual Total Modulo 4.1</t>
        </r>
      </text>
    </comment>
    <comment ref="C75" authorId="0">
      <text>
        <r>
          <rPr>
            <sz val="10"/>
            <rFont val="Arial"/>
            <family val="2"/>
          </rPr>
          <t>{[0,05 x (1/12)] x100} = 0,417%
Considerando 5% de empregados substituídos durante o contrato</t>
        </r>
      </text>
    </comment>
    <comment ref="C76" authorId="0">
      <text>
        <r>
          <rPr>
            <sz val="10"/>
            <rFont val="Arial"/>
            <family val="2"/>
          </rPr>
          <t>Aviso prévio indenizado * Percentual Total do Submódulo 4.1</t>
        </r>
      </text>
    </comment>
    <comment ref="C77" authorId="0">
      <text>
        <r>
          <rPr>
            <sz val="10"/>
            <rFont val="Arial"/>
            <family val="2"/>
          </rPr>
          <t>Remuneração * (8% de FGTS) * 50% de multa do FGTS * 5% de funcionários demitidos com aviso prévio indenizado</t>
        </r>
      </text>
    </comment>
    <comment ref="C78" authorId="0">
      <text>
        <r>
          <rPr>
            <sz val="10"/>
            <rFont val="Arial"/>
            <family val="2"/>
          </rPr>
          <t>{[(7/30)/12]x100} = 1,944%
7 dias de folga / 30 dias / 12 meses (vigência inicial do contrato) = provisão mensal para esse item de custo * remuneração mensal</t>
        </r>
      </text>
    </comment>
    <comment ref="C79" authorId="0">
      <text>
        <r>
          <rPr>
            <sz val="10"/>
            <rFont val="Arial"/>
            <family val="2"/>
          </rPr>
          <t>Aviso prévio trabalhado * Percentual Total do Submódulo 4.1</t>
        </r>
      </text>
    </comment>
    <comment ref="C80" authorId="0">
      <text>
        <r>
          <rPr>
            <sz val="10"/>
            <rFont val="Arial"/>
            <family val="2"/>
          </rPr>
          <t>Remuneração * (8% de FGTS) * 50% de multa do FGTS</t>
        </r>
      </text>
    </comment>
    <comment ref="C85" authorId="0">
      <text>
        <r>
          <rPr>
            <sz val="10"/>
            <rFont val="Arial"/>
            <family val="2"/>
          </rPr>
          <t>01 Remuneração / 12 meses = 8,33%</t>
        </r>
      </text>
    </comment>
    <comment ref="C86" authorId="0">
      <text>
        <r>
          <rPr>
            <sz val="10"/>
            <rFont val="Arial"/>
            <family val="2"/>
          </rPr>
          <t>Manual de Preenchimento de Planilhas do MPOG 2011 (pg 27): 1,66%</t>
        </r>
      </text>
    </comment>
    <comment ref="C87" authorId="0">
      <text>
        <r>
          <rPr>
            <sz val="10"/>
            <rFont val="Arial"/>
            <family val="2"/>
          </rPr>
          <t>Manual de Preenchimento de Planilhas do MPOG 2011 (pg 27): 0,2%</t>
        </r>
      </text>
    </comment>
    <comment ref="C88" authorId="0">
      <text>
        <r>
          <rPr>
            <sz val="10"/>
            <rFont val="Arial"/>
            <family val="2"/>
          </rPr>
          <t>Acordao TCU 1753-2008: Calcula, segundo estimativas do MPOG, em 2,96 dias por ano as ausências legais, calculando em 0,82% o impacto sobre a remuneração.
Cálculo= (2,96/30)/12.</t>
        </r>
      </text>
    </comment>
    <comment ref="C89" authorId="0">
      <text>
        <r>
          <rPr>
            <sz val="10"/>
            <rFont val="Arial"/>
            <family val="2"/>
          </rPr>
          <t>Manual de Preenchimento de Planilhas do MPOG 2011 (pg 28): 0,03%</t>
        </r>
      </text>
    </comment>
    <comment ref="C91" authorId="0">
      <text>
        <r>
          <rPr>
            <sz val="10"/>
            <rFont val="Arial"/>
            <family val="2"/>
          </rPr>
          <t>Soma do Custo de Reposição * Percentual total de submódulo 4.1</t>
        </r>
      </text>
    </comment>
    <comment ref="C106" authorId="0">
      <text>
        <r>
          <rPr>
            <sz val="10"/>
            <rFont val="Arial"/>
            <family val="2"/>
          </rPr>
          <t xml:space="preserve">Referência: Custos Indiretos e Lucro (vide planilha específica).
</t>
        </r>
      </text>
    </comment>
    <comment ref="D106" authorId="0">
      <text>
        <r>
          <rPr>
            <sz val="10"/>
            <rFont val="Arial"/>
            <family val="2"/>
          </rPr>
          <t>Memória de Cálculo: [(remuneração + benefícios mensais e diários + insumos diversos + encargos sociais e trabalhistas) x (percentual dos custos indiretos)].</t>
        </r>
      </text>
    </comment>
    <comment ref="B107" authorId="0">
      <text>
        <r>
          <rPr>
            <sz val="10"/>
            <rFont val="Arial"/>
            <family val="2"/>
          </rPr>
          <t>O percentual de tributos é aplicado sobre o faturamento</t>
        </r>
      </text>
    </comment>
    <comment ref="C108" authorId="0">
      <text>
        <r>
          <rPr>
            <sz val="10"/>
            <rFont val="Arial"/>
            <family val="2"/>
          </rPr>
          <t>Referência: Os tributos (COFINS e PIS) foram definidos utilizando o regime de tributação de LUCRO REAL.
A licitante deve elaborar sua proposta e, por conseguinte, sua planilha, com base no regime de tributação ao qual estará submetida durante a execução do contrato.</t>
        </r>
      </text>
    </comment>
    <comment ref="D108" authorId="0">
      <text>
        <r>
          <rPr>
            <sz val="10"/>
            <rFont val="Arial"/>
            <family val="2"/>
          </rPr>
          <t>Memória de Cálculo:
Tributos Federais (PIS 1,65% + COFINS 7,60%): { [ (remuneração + benefícios mensais e diários + insumos diversos + encargos sociais e trabalhistas + custos indiretos + lucro) / (1-percentual total dos tributos) ] x (percentual do PIS + COFINS) }</t>
        </r>
      </text>
    </comment>
    <comment ref="C110" authorId="0">
      <text>
        <r>
          <rPr>
            <sz val="10"/>
            <rFont val="Arial"/>
            <family val="2"/>
          </rPr>
          <t>Valor do ISS praticado no Município onde será prestado o serviço.</t>
        </r>
      </text>
    </comment>
    <comment ref="D110" authorId="0">
      <text>
        <r>
          <rPr>
            <sz val="10"/>
            <rFont val="Arial"/>
            <family val="2"/>
          </rPr>
          <t>Memória de Cálculo:
Tributos Municipais (ISSQN): { [ (remuneração + benefícios mensais e diários + insumos diversos + encargos sociais e trabalhistas + custos indiretos + lucro) / (1-percentual total dos tributos) ] x (percentual do ISSQN) }.</t>
        </r>
      </text>
    </comment>
    <comment ref="C112" authorId="0">
      <text>
        <r>
          <rPr>
            <sz val="10"/>
            <rFont val="Arial"/>
            <family val="2"/>
          </rPr>
          <t>Referência: Custos Indiretos e Lucro (vide planilha específica).</t>
        </r>
      </text>
    </comment>
    <comment ref="D112" authorId="1">
      <text>
        <r>
          <rPr>
            <sz val="10"/>
            <rFont val="Arial"/>
            <family val="2"/>
          </rPr>
          <t xml:space="preserve">Memória de Cálculo: [(remuneração + benefícios mensais e diários + insumos diversos + encargos sociais e trabalhistas + custos indiretos) x (percentual do lucro)].
</t>
        </r>
      </text>
    </comment>
  </commentList>
</comments>
</file>

<file path=xl/sharedStrings.xml><?xml version="1.0" encoding="utf-8"?>
<sst xmlns="http://schemas.openxmlformats.org/spreadsheetml/2006/main" count="837" uniqueCount="167">
  <si>
    <t>Pregão nº</t>
  </si>
  <si>
    <t>Tipo de serviço</t>
  </si>
  <si>
    <t>Quantidade de Dias Trabalhados por Mês</t>
  </si>
  <si>
    <t xml:space="preserve">Categoria profissional </t>
  </si>
  <si>
    <t>Data base da categoria</t>
  </si>
  <si>
    <t>MÓDULO 1 : COMPOSIÇÃO DA REMUNERAÇÃO</t>
  </si>
  <si>
    <t>Composição da Remuneração</t>
  </si>
  <si>
    <t>Valor(R$)</t>
  </si>
  <si>
    <t>Salário Base</t>
  </si>
  <si>
    <t>Adicional noturno</t>
  </si>
  <si>
    <t>Hora Noturna Adicional</t>
  </si>
  <si>
    <t>Insalubridade</t>
  </si>
  <si>
    <t>Adicional de Hora Extra</t>
  </si>
  <si>
    <t>Adicional de risco de vida</t>
  </si>
  <si>
    <t xml:space="preserve">Outros adicionais (Assiduidade) </t>
  </si>
  <si>
    <t>Total de Remuneração</t>
  </si>
  <si>
    <t>MÓDULO 2: BENEFÍCIOS MENSAIS E DIÁRIOS</t>
  </si>
  <si>
    <t>Benefícios Mensais e Diários</t>
  </si>
  <si>
    <t>Transporte</t>
  </si>
  <si>
    <t>Auxílio Alimentação</t>
  </si>
  <si>
    <t>Intrajornada</t>
  </si>
  <si>
    <t>Programa Assist Social</t>
  </si>
  <si>
    <t>Seguro de Vida em Grupo + PCMSO</t>
  </si>
  <si>
    <t>Cesta Básica</t>
  </si>
  <si>
    <t>Total de Benefícios Mensais e Diários</t>
  </si>
  <si>
    <t>MÓDULO 3: INSUMOS DIVERSOS</t>
  </si>
  <si>
    <t>Insumos Diversos</t>
  </si>
  <si>
    <t>Uniformes</t>
  </si>
  <si>
    <t>Total de Insumos Diversos</t>
  </si>
  <si>
    <t>MÓDULO 4: ENCARGOS SOCIAIS E TRABALHISTAS</t>
  </si>
  <si>
    <t>Submódulo 4.1 - Encargos previdenciários e FGTS: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</si>
  <si>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</si>
  <si>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</si>
  <si>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</si>
  <si>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</si>
  <si>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</si>
  <si>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</si>
  <si>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</si>
  <si>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</si>
  <si>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</si>
  <si>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</si>
  <si>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</si>
  <si>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t>Itens não aplicáveis a Optantes do SIMPLES</t>
  </si>
  <si>
    <t>Submódulo 4.2 - 13º Salário e Adicional de Férias</t>
  </si>
  <si>
    <t>13º Salário e Adicional de Férias</t>
  </si>
  <si>
    <t>13º Salário</t>
  </si>
  <si>
    <t>Adicional de Férias</t>
  </si>
  <si>
    <t>Subtotal</t>
  </si>
  <si>
    <t>Incidência do Submódulo 4.1 sobre 13º Salário e Adicional de Férias</t>
  </si>
  <si>
    <t>Submódulo 4.3 - Afastamento Maternidade</t>
  </si>
  <si>
    <t>Afastamento Maternidade</t>
  </si>
  <si>
    <t>Afastamento maternidade</t>
  </si>
  <si>
    <t>Incidência do Submódulo 4.1 sobre afastamento maternidade</t>
  </si>
  <si>
    <t>Submódulo 4.4 - Provisão para Rescisão</t>
  </si>
  <si>
    <t>Provisão para Rescisão</t>
  </si>
  <si>
    <t>Aviso prévio indenizado</t>
  </si>
  <si>
    <t>Incidência do submódulo 4.1 sobre aviso prévio indenizado</t>
  </si>
  <si>
    <t>Multa do FGTS do aviso prévio indenizado</t>
  </si>
  <si>
    <t>Aviso prévio trabalhado</t>
  </si>
  <si>
    <t>Incidência do submódulo 4.1 sobre aviso prévio trabalhado</t>
  </si>
  <si>
    <t>Multa do FGTS do aviso prévio trabalhado</t>
  </si>
  <si>
    <t>Submódulo 4.5 - Custo de Reposição do Profissional Ausente</t>
  </si>
  <si>
    <t>Custo de Reposição do Profissional Ausente</t>
  </si>
  <si>
    <t>Férias</t>
  </si>
  <si>
    <t>Ausência por doença</t>
  </si>
  <si>
    <t>Licença paternidade</t>
  </si>
  <si>
    <t>Ausências legais</t>
  </si>
  <si>
    <t>Ausência por Acidente de trabalho</t>
  </si>
  <si>
    <t>Outros</t>
  </si>
  <si>
    <t>Incidência do submódulo 4.1 sobre o Custo de reposição</t>
  </si>
  <si>
    <t>Quadro - resumo - Módulo 4 - Encargos sociais e trabalhistas</t>
  </si>
  <si>
    <t>Módulo 4 - Encargos sociais e trabalhistas</t>
  </si>
  <si>
    <t>4.1 13º salário + Adicional de férias</t>
  </si>
  <si>
    <t>4.2 Encargos previdenciários e FGTS</t>
  </si>
  <si>
    <t>4.3 Afastamento maternidade</t>
  </si>
  <si>
    <t>4.4 Custo de rescisão</t>
  </si>
  <si>
    <t>4.5 Custo de reposição do profissional ausente</t>
  </si>
  <si>
    <t>4.6 Outros (especificar)</t>
  </si>
  <si>
    <t>MÓDULO 5: CUSTOS INDIRETOS, TRIBUTOS E LUCRO</t>
  </si>
  <si>
    <t>Custos Indiretos, Tributos e Lucro</t>
  </si>
  <si>
    <t>A) Custos Indiretos</t>
  </si>
  <si>
    <t>B) Tributos</t>
  </si>
  <si>
    <t>B.1) Tributos Federais (PIS = 1,65% e COFINS = 7,6%)</t>
  </si>
  <si>
    <t>B.2) Tributos Estaduais (especificar)</t>
  </si>
  <si>
    <t>B.4) Outros tributos (especificar)</t>
  </si>
  <si>
    <t>C) Lucro</t>
  </si>
  <si>
    <t>ANEXO B</t>
  </si>
  <si>
    <t>Quadro-resumo do Custo por Empregado</t>
  </si>
  <si>
    <t>Mão-de-obra vinculada à execução contratual (valor por empregado)</t>
  </si>
  <si>
    <t>A) Módulo 1 - Composição da Remuneração</t>
  </si>
  <si>
    <t>B) Módulo 2 - Benefícios Mensais e Diários</t>
  </si>
  <si>
    <t>C) Módulo 3 - Insumos Diversos (uniformes, materiais, equiptos e outros)</t>
  </si>
  <si>
    <t>D) Módulo 4 - Encargos Sociais e Trabalhistas</t>
  </si>
  <si>
    <t>Subtotal (A + B +C+ D)</t>
  </si>
  <si>
    <t>E) Módulo 5 - Custos indiretos, tributos e lucro</t>
  </si>
  <si>
    <t>Valor total por empregado</t>
  </si>
  <si>
    <t>FATOR K</t>
  </si>
  <si>
    <t>VALOR UNITÁRIO</t>
  </si>
  <si>
    <t>VALOR  TOTAL</t>
  </si>
  <si>
    <t>Unidade</t>
  </si>
  <si>
    <t>DESCRIÇÂO</t>
  </si>
  <si>
    <t>QTDE SEMESTRAL</t>
  </si>
  <si>
    <t>UNIDADE</t>
  </si>
  <si>
    <t>QTDE ANUAL</t>
  </si>
  <si>
    <t>VALOR UNITÁRIO ESTIMADO</t>
  </si>
  <si>
    <t>VALOR  TOTAL ESTIMADO</t>
  </si>
  <si>
    <t>Bicicleta Aro 26</t>
  </si>
  <si>
    <t>Adicional de Penosidade</t>
  </si>
  <si>
    <t>FORNECEDOR 01 (Walmart)</t>
  </si>
  <si>
    <t>VALOR UNITÁRIO (com frete para entrega em Alta Floresta)</t>
  </si>
  <si>
    <t>Custos Indiretos</t>
  </si>
  <si>
    <t>Lucro</t>
  </si>
  <si>
    <t>Percentual Médio</t>
  </si>
  <si>
    <t>CUSTOS INDIRETOS E LUCRO (PERCENTUAL ESTIMADO PELA ADMINISTRAÇÃO)</t>
  </si>
  <si>
    <t>Data de apresentação da proposta (dia/mês/ano)</t>
  </si>
  <si>
    <t>Município/UF</t>
  </si>
  <si>
    <t>Ano Acordo, Convenção ou Sentença Normativa em Dissídio Coletivo</t>
  </si>
  <si>
    <t>Nº de meses de execução contratual</t>
  </si>
  <si>
    <t>XX/XX/2017</t>
  </si>
  <si>
    <t>Campo Novo do Parecis/MT</t>
  </si>
  <si>
    <t>ITEM</t>
  </si>
  <si>
    <t>QUANT. DE POSTOS</t>
  </si>
  <si>
    <t>QUANT. ANUAL</t>
  </si>
  <si>
    <t>VALOR MENSAL ESTIMADO</t>
  </si>
  <si>
    <t>VALOR ANUAL TOTAL ESTIMADO</t>
  </si>
  <si>
    <t>VALOR TOTAL ESTIMADO DA LICITAÇÃO</t>
  </si>
  <si>
    <t>CCT 2017/2017 MT000018/2017</t>
  </si>
  <si>
    <t>FORNECEDOR 02 (Americanas)</t>
  </si>
  <si>
    <t>FORNECEDOR 03 (Casas Bahia)</t>
  </si>
  <si>
    <t>Materiais/Equipamentos</t>
  </si>
  <si>
    <t>Referência 01: http://www.fabricadeuniformes.com.br</t>
  </si>
  <si>
    <t>04/2017 (UASG 158972)</t>
  </si>
  <si>
    <t>Copeira - Seg a Sex (40h)</t>
  </si>
  <si>
    <t>Salário Normativo da Categoria Profissional (para 44 horas semanais)</t>
  </si>
  <si>
    <t>Copeira (2ª Faixa Salarial da CCT MT000018/2017)</t>
  </si>
  <si>
    <t>Calça/Saia</t>
  </si>
  <si>
    <t>Blusa</t>
  </si>
  <si>
    <t>Camiseta</t>
  </si>
  <si>
    <t>Avental</t>
  </si>
  <si>
    <t>Touca de Filó</t>
  </si>
  <si>
    <t>Par de meias</t>
  </si>
  <si>
    <t>Calçado</t>
  </si>
  <si>
    <t>TOTAL SEMESTRAL (R$) / COPEIRA</t>
  </si>
  <si>
    <t>TOTAL MENSAL (R$) / COPEIRA</t>
  </si>
  <si>
    <t xml:space="preserve">Par </t>
  </si>
  <si>
    <t>UNIFORME (CONFORME ESPECIFICAÇÕES DO TERMO DE REFERÊNCIA)</t>
  </si>
  <si>
    <t>Referência 02: http://www.abuniformes.com.br</t>
  </si>
  <si>
    <t>Referência 03: http://www.meiassaojose.com.br</t>
  </si>
  <si>
    <t>Pregão nº 17/2017 (Tribunal de Justiça de Mato Grosso): Item 01</t>
  </si>
  <si>
    <r>
      <t>Pregão nº 02/2017 (</t>
    </r>
    <r>
      <rPr>
        <b/>
        <i/>
        <sz val="10"/>
        <rFont val="Calibri"/>
        <family val="2"/>
      </rPr>
      <t>FUNASA</t>
    </r>
    <r>
      <rPr>
        <b/>
        <sz val="10"/>
        <rFont val="Calibri"/>
        <family val="2"/>
      </rPr>
      <t>): Item 01</t>
    </r>
  </si>
  <si>
    <r>
      <t>Pregão nº 149/2017 (</t>
    </r>
    <r>
      <rPr>
        <b/>
        <i/>
        <sz val="10"/>
        <rFont val="Calibri"/>
        <family val="2"/>
      </rPr>
      <t>DENIT</t>
    </r>
    <r>
      <rPr>
        <b/>
        <sz val="10"/>
        <rFont val="Calibri"/>
        <family val="2"/>
      </rPr>
      <t>): Item 2</t>
    </r>
  </si>
  <si>
    <t>B.3) Tributos Municipais (ISS = 3,5%)</t>
  </si>
  <si>
    <t>Confresa/MT</t>
  </si>
  <si>
    <t>B.3) Tributos Municipais (ISS = 5%)</t>
  </si>
  <si>
    <t>Primavera do Leste/MT</t>
  </si>
  <si>
    <t>Rondonópolis/MT</t>
  </si>
  <si>
    <t>Sorriso/MT</t>
  </si>
  <si>
    <t>Cuiabá/MT</t>
  </si>
  <si>
    <t>ANEXO IV - MODELO DE PLANILHA DE CUSTOS E FORMAÇÃO DE PREÇOS</t>
  </si>
  <si>
    <t>ANEXO IV
MÃO-DE-OBRA
MÃO-DE-OBRA VINCULADA À EXECUÇÃO CONTRATUAL</t>
  </si>
  <si>
    <r>
      <t xml:space="preserve">Contratação de empresa especializada na gestão de serviços contínuos de Copeiragem, para o </t>
    </r>
    <r>
      <rPr>
        <b/>
        <i/>
        <sz val="9"/>
        <rFont val="Spranq eco sans"/>
        <family val="2"/>
      </rPr>
      <t>Campus</t>
    </r>
    <r>
      <rPr>
        <b/>
        <sz val="9"/>
        <rFont val="Spranq eco sans"/>
        <family val="2"/>
      </rPr>
      <t xml:space="preserve"> Campo Novo do Parecis</t>
    </r>
    <r>
      <rPr>
        <sz val="9"/>
        <rFont val="Spranq eco sans"/>
        <family val="2"/>
      </rPr>
      <t xml:space="preserve"> do Instituto Federal de Educação, Ciência e Tecnologia de Mato Grosso, Carga horária de 40 h semanais.</t>
    </r>
  </si>
  <si>
    <r>
      <t xml:space="preserve">Contratação de empresa especializada na gestão de serviços contínuos de Copeiragem, para o </t>
    </r>
    <r>
      <rPr>
        <b/>
        <i/>
        <sz val="9"/>
        <rFont val="Spranq eco sans"/>
        <family val="2"/>
      </rPr>
      <t>Campus</t>
    </r>
    <r>
      <rPr>
        <b/>
        <sz val="9"/>
        <rFont val="Spranq eco sans"/>
        <family val="2"/>
      </rPr>
      <t xml:space="preserve"> Confresa</t>
    </r>
    <r>
      <rPr>
        <sz val="9"/>
        <rFont val="Spranq eco sans"/>
        <family val="2"/>
      </rPr>
      <t xml:space="preserve"> do Instituto Federal de Educação, Ciência e Tecnologia de Mato Grosso, Carga horária de 40 h semanais.</t>
    </r>
  </si>
  <si>
    <r>
      <t xml:space="preserve">Contratação de empresa especializada na gestão de serviços contínuos de Copeiragem, para o </t>
    </r>
    <r>
      <rPr>
        <b/>
        <i/>
        <sz val="9"/>
        <rFont val="Spranq eco sans"/>
        <family val="2"/>
      </rPr>
      <t>Campus</t>
    </r>
    <r>
      <rPr>
        <b/>
        <sz val="9"/>
        <rFont val="Spranq eco sans"/>
        <family val="2"/>
      </rPr>
      <t xml:space="preserve"> Primavera do Leste</t>
    </r>
    <r>
      <rPr>
        <sz val="9"/>
        <rFont val="Spranq eco sans"/>
        <family val="2"/>
      </rPr>
      <t xml:space="preserve"> do Instituto Federal de Educação, Ciência e Tecnologia de Mato Grosso, Carga horária de 40 h semanais.</t>
    </r>
  </si>
  <si>
    <r>
      <t xml:space="preserve">Contratação de empresa especializada na gestão de serviços contínuos de Copeiragem, para o </t>
    </r>
    <r>
      <rPr>
        <b/>
        <i/>
        <sz val="9"/>
        <rFont val="Spranq eco sans"/>
        <family val="2"/>
      </rPr>
      <t>Campus</t>
    </r>
    <r>
      <rPr>
        <b/>
        <sz val="9"/>
        <rFont val="Spranq eco sans"/>
        <family val="2"/>
      </rPr>
      <t xml:space="preserve"> Rondonópolis</t>
    </r>
    <r>
      <rPr>
        <sz val="9"/>
        <rFont val="Spranq eco sans"/>
        <family val="2"/>
      </rPr>
      <t xml:space="preserve"> do Instituto Federal de Educação, Ciência e Tecnologia de Mato Grosso, Carga horária de 40 h semanais.</t>
    </r>
  </si>
  <si>
    <r>
      <t xml:space="preserve">Contratação de empresa especializada na gestão de serviços contínuos de Copeiragem, para o </t>
    </r>
    <r>
      <rPr>
        <b/>
        <i/>
        <sz val="9"/>
        <rFont val="Spranq eco sans"/>
        <family val="2"/>
      </rPr>
      <t>Campus</t>
    </r>
    <r>
      <rPr>
        <b/>
        <sz val="9"/>
        <rFont val="Spranq eco sans"/>
        <family val="2"/>
      </rPr>
      <t xml:space="preserve"> Sorriso</t>
    </r>
    <r>
      <rPr>
        <sz val="9"/>
        <rFont val="Spranq eco sans"/>
        <family val="2"/>
      </rPr>
      <t xml:space="preserve"> do Instituto Federal de Educação, Ciência e Tecnologia de Mato Grosso, Carga horária de 40 h semanais.</t>
    </r>
  </si>
  <si>
    <r>
      <t xml:space="preserve">Contratação de empresa especializada na gestão de serviços contínuos de Copeiragem, para a </t>
    </r>
    <r>
      <rPr>
        <b/>
        <sz val="9"/>
        <rFont val="Spranq eco sans"/>
        <family val="2"/>
      </rPr>
      <t>Reitoria</t>
    </r>
    <r>
      <rPr>
        <sz val="9"/>
        <rFont val="Spranq eco sans"/>
        <family val="2"/>
      </rPr>
      <t xml:space="preserve"> do Instituto Federal de Educação, Ciência e Tecnologia de Mato Grosso, Carga horária de 40 h semanais.</t>
    </r>
  </si>
  <si>
    <t>TRANSPORTE ALTERNATIVO (CLÁUSULA DÉCIMA QUARTA DA CCT 2017)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</si>
</sst>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#,##0.00\ ;&quot; (&quot;#,##0.00\);&quot; -&quot;#\ ;@\ "/>
    <numFmt numFmtId="166" formatCode="d/m/yyyy"/>
    <numFmt numFmtId="167" formatCode="#,##0.00\ ;\(#,##0.00\)"/>
    <numFmt numFmtId="168" formatCode="#,##0.0000\ ;&quot; (&quot;#,##0.0000\);&quot; -&quot;#\ ;@\ "/>
    <numFmt numFmtId="169" formatCode="#,##0.00000\ ;&quot; (&quot;#,##0.00000\);&quot; -&quot;#\ ;@\ "/>
    <numFmt numFmtId="170" formatCode="#,##0.00\ ;\-#,##0.00\ ;&quot; -&quot;#\ ;@\ "/>
    <numFmt numFmtId="171" formatCode="#,##0\ ;&quot; (&quot;#,##0\);&quot; -&quot;#\ ;@\ 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"/>
    <numFmt numFmtId="178" formatCode="0.0"/>
    <numFmt numFmtId="179" formatCode="#,##0.000000\ ;&quot; (&quot;#,##0.000000\);&quot; -&quot;#.0\ ;@\ "/>
    <numFmt numFmtId="180" formatCode="#,##0.0000000\ ;&quot; (&quot;#,##0.0000000\);&quot; -&quot;#.00\ ;@\ "/>
    <numFmt numFmtId="181" formatCode="#,##0.00000000\ ;&quot; (&quot;#,##0.00000000\);&quot; -&quot;#.000\ ;@\ "/>
    <numFmt numFmtId="182" formatCode="#,##0.000000000\ ;&quot; (&quot;#,##0.000000000\);&quot; -&quot;#.0000\ ;@\ "/>
    <numFmt numFmtId="183" formatCode="#,##0.0000000000\ ;&quot; (&quot;#,##0.0000000000\);&quot; -&quot;#.00000\ ;@\ "/>
    <numFmt numFmtId="184" formatCode="#,##0.00000000000\ ;&quot; (&quot;#,##0.00000000000\);&quot; -&quot;#.000000\ ;@\ "/>
    <numFmt numFmtId="185" formatCode="#,##0.000000000000\ ;&quot; (&quot;#,##0.000000000000\);&quot; -&quot;#.0000000\ ;@\ "/>
    <numFmt numFmtId="186" formatCode="#,##0.00000\ ;&quot; (&quot;#,##0.00000\);&quot; -&quot;#.0\ ;@\ "/>
    <numFmt numFmtId="187" formatCode="#,##0.000"/>
    <numFmt numFmtId="188" formatCode="#,##0.0"/>
    <numFmt numFmtId="189" formatCode="0.0000000"/>
    <numFmt numFmtId="190" formatCode="0.000000"/>
    <numFmt numFmtId="191" formatCode="0.00000"/>
    <numFmt numFmtId="192" formatCode="0.0000"/>
  </numFmts>
  <fonts count="56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b/>
      <sz val="8"/>
      <name val="Arial"/>
      <family val="2"/>
    </font>
    <font>
      <b/>
      <sz val="9"/>
      <name val="Spranq eco sans"/>
      <family val="2"/>
    </font>
    <font>
      <sz val="9"/>
      <name val="Spranq eco sans"/>
      <family val="2"/>
    </font>
    <font>
      <b/>
      <i/>
      <sz val="9"/>
      <name val="Spranq eco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EAADB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3" fillId="0" borderId="6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5" fontId="0" fillId="0" borderId="0" applyFill="0" applyBorder="0" applyAlignment="0" applyProtection="0"/>
  </cellStyleXfs>
  <cellXfs count="198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66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vertical="center" wrapText="1"/>
      <protection locked="0"/>
    </xf>
    <xf numFmtId="165" fontId="0" fillId="33" borderId="0" xfId="79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justify" vertical="top" wrapText="1"/>
      <protection/>
    </xf>
    <xf numFmtId="0" fontId="6" fillId="33" borderId="18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justify" vertical="top" wrapTex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justify" vertical="top" wrapText="1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justify" vertical="top" wrapText="1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justify" vertical="top" wrapText="1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justify" vertical="top" wrapText="1"/>
      <protection/>
    </xf>
    <xf numFmtId="9" fontId="0" fillId="33" borderId="0" xfId="57" applyFill="1" applyBorder="1" applyAlignment="1" applyProtection="1">
      <alignment horizontal="center" vertical="center"/>
      <protection/>
    </xf>
    <xf numFmtId="167" fontId="5" fillId="33" borderId="0" xfId="0" applyNumberFormat="1" applyFont="1" applyFill="1" applyAlignment="1" applyProtection="1">
      <alignment vertical="center"/>
      <protection/>
    </xf>
    <xf numFmtId="167" fontId="0" fillId="33" borderId="11" xfId="0" applyNumberFormat="1" applyFont="1" applyFill="1" applyBorder="1" applyAlignment="1" applyProtection="1">
      <alignment horizontal="justify" vertical="top" wrapText="1"/>
      <protection/>
    </xf>
    <xf numFmtId="167" fontId="5" fillId="33" borderId="0" xfId="0" applyNumberFormat="1" applyFont="1" applyFill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Alignment="1" applyProtection="1">
      <alignment vertical="center"/>
      <protection/>
    </xf>
    <xf numFmtId="167" fontId="8" fillId="33" borderId="0" xfId="0" applyNumberFormat="1" applyFont="1" applyFill="1" applyAlignment="1" applyProtection="1">
      <alignment vertical="center"/>
      <protection/>
    </xf>
    <xf numFmtId="167" fontId="6" fillId="33" borderId="17" xfId="0" applyNumberFormat="1" applyFont="1" applyFill="1" applyBorder="1" applyAlignment="1" applyProtection="1">
      <alignment horizontal="justify" vertical="top" wrapText="1"/>
      <protection/>
    </xf>
    <xf numFmtId="167" fontId="0" fillId="33" borderId="13" xfId="0" applyNumberFormat="1" applyFont="1" applyFill="1" applyBorder="1" applyAlignment="1" applyProtection="1">
      <alignment horizontal="justify" vertical="top" wrapText="1"/>
      <protection/>
    </xf>
    <xf numFmtId="167" fontId="6" fillId="33" borderId="14" xfId="0" applyNumberFormat="1" applyFont="1" applyFill="1" applyBorder="1" applyAlignment="1" applyProtection="1">
      <alignment horizontal="justify" vertical="top" wrapText="1"/>
      <protection/>
    </xf>
    <xf numFmtId="9" fontId="0" fillId="33" borderId="0" xfId="57" applyFill="1" applyBorder="1" applyAlignment="1" applyProtection="1">
      <alignment vertical="center"/>
      <protection/>
    </xf>
    <xf numFmtId="167" fontId="6" fillId="33" borderId="18" xfId="0" applyNumberFormat="1" applyFont="1" applyFill="1" applyBorder="1" applyAlignment="1" applyProtection="1">
      <alignment horizontal="center" vertical="top" wrapText="1"/>
      <protection/>
    </xf>
    <xf numFmtId="167" fontId="6" fillId="33" borderId="21" xfId="0" applyNumberFormat="1" applyFont="1" applyFill="1" applyBorder="1" applyAlignment="1" applyProtection="1">
      <alignment horizontal="center" vertical="center"/>
      <protection/>
    </xf>
    <xf numFmtId="167" fontId="6" fillId="33" borderId="13" xfId="0" applyNumberFormat="1" applyFont="1" applyFill="1" applyBorder="1" applyAlignment="1" applyProtection="1">
      <alignment horizontal="justify" vertical="top" wrapText="1"/>
      <protection/>
    </xf>
    <xf numFmtId="167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165" fontId="0" fillId="0" borderId="20" xfId="79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65" fontId="0" fillId="0" borderId="20" xfId="79" applyFill="1" applyBorder="1" applyAlignment="1" applyProtection="1">
      <alignment vertical="center"/>
      <protection/>
    </xf>
    <xf numFmtId="16" fontId="5" fillId="33" borderId="0" xfId="0" applyNumberFormat="1" applyFont="1" applyFill="1" applyAlignment="1" applyProtection="1">
      <alignment horizontal="center" vertical="center"/>
      <protection/>
    </xf>
    <xf numFmtId="10" fontId="0" fillId="33" borderId="0" xfId="57" applyNumberFormat="1" applyFill="1" applyAlignment="1" applyProtection="1">
      <alignment vertical="center"/>
      <protection/>
    </xf>
    <xf numFmtId="0" fontId="0" fillId="0" borderId="20" xfId="0" applyFont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wrapText="1"/>
    </xf>
    <xf numFmtId="165" fontId="6" fillId="0" borderId="20" xfId="79" applyFont="1" applyFill="1" applyBorder="1" applyAlignment="1" applyProtection="1">
      <alignment vertical="center" wrapText="1"/>
      <protection/>
    </xf>
    <xf numFmtId="44" fontId="0" fillId="0" borderId="20" xfId="47" applyFill="1" applyBorder="1" applyAlignment="1" applyProtection="1">
      <alignment horizontal="center" vertical="center" wrapText="1"/>
      <protection/>
    </xf>
    <xf numFmtId="0" fontId="10" fillId="34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left" vertical="center" wrapText="1"/>
    </xf>
    <xf numFmtId="167" fontId="6" fillId="36" borderId="17" xfId="0" applyNumberFormat="1" applyFont="1" applyFill="1" applyBorder="1" applyAlignment="1" applyProtection="1">
      <alignment horizontal="justify" vertical="top" wrapText="1"/>
      <protection/>
    </xf>
    <xf numFmtId="0" fontId="5" fillId="37" borderId="13" xfId="0" applyFont="1" applyFill="1" applyBorder="1" applyAlignment="1" applyProtection="1">
      <alignment horizontal="left" vertical="center"/>
      <protection locked="0"/>
    </xf>
    <xf numFmtId="0" fontId="0" fillId="37" borderId="20" xfId="0" applyFont="1" applyFill="1" applyBorder="1" applyAlignment="1" applyProtection="1">
      <alignment horizontal="center" vertical="center"/>
      <protection/>
    </xf>
    <xf numFmtId="167" fontId="5" fillId="33" borderId="0" xfId="0" applyNumberFormat="1" applyFont="1" applyFill="1" applyAlignment="1" applyProtection="1">
      <alignment vertical="center" wrapText="1"/>
      <protection/>
    </xf>
    <xf numFmtId="10" fontId="34" fillId="33" borderId="25" xfId="57" applyNumberFormat="1" applyFont="1" applyFill="1" applyBorder="1" applyAlignment="1" applyProtection="1">
      <alignment vertical="center"/>
      <protection/>
    </xf>
    <xf numFmtId="10" fontId="34" fillId="0" borderId="25" xfId="0" applyNumberFormat="1" applyFont="1" applyBorder="1" applyAlignment="1">
      <alignment/>
    </xf>
    <xf numFmtId="167" fontId="9" fillId="33" borderId="25" xfId="0" applyNumberFormat="1" applyFont="1" applyFill="1" applyBorder="1" applyAlignment="1" applyProtection="1">
      <alignment vertical="center"/>
      <protection/>
    </xf>
    <xf numFmtId="167" fontId="9" fillId="37" borderId="25" xfId="0" applyNumberFormat="1" applyFont="1" applyFill="1" applyBorder="1" applyAlignment="1" applyProtection="1">
      <alignment vertical="center"/>
      <protection/>
    </xf>
    <xf numFmtId="10" fontId="34" fillId="37" borderId="25" xfId="57" applyNumberFormat="1" applyFont="1" applyFill="1" applyBorder="1" applyAlignment="1" applyProtection="1">
      <alignment vertical="center"/>
      <protection/>
    </xf>
    <xf numFmtId="10" fontId="34" fillId="38" borderId="25" xfId="0" applyNumberFormat="1" applyFont="1" applyFill="1" applyBorder="1" applyAlignment="1">
      <alignment/>
    </xf>
    <xf numFmtId="167" fontId="0" fillId="37" borderId="13" xfId="0" applyNumberFormat="1" applyFont="1" applyFill="1" applyBorder="1" applyAlignment="1" applyProtection="1">
      <alignment horizontal="justify" vertical="top" wrapText="1"/>
      <protection/>
    </xf>
    <xf numFmtId="10" fontId="0" fillId="37" borderId="20" xfId="57" applyNumberFormat="1" applyFill="1" applyBorder="1" applyAlignment="1" applyProtection="1">
      <alignment horizontal="center" vertical="center"/>
      <protection/>
    </xf>
    <xf numFmtId="167" fontId="0" fillId="37" borderId="11" xfId="0" applyNumberFormat="1" applyFont="1" applyFill="1" applyBorder="1" applyAlignment="1" applyProtection="1">
      <alignment horizontal="justify" vertical="top" wrapText="1"/>
      <protection/>
    </xf>
    <xf numFmtId="10" fontId="0" fillId="37" borderId="19" xfId="57" applyNumberFormat="1" applyFill="1" applyBorder="1" applyAlignment="1" applyProtection="1">
      <alignment horizontal="center" vertical="center"/>
      <protection/>
    </xf>
    <xf numFmtId="167" fontId="55" fillId="37" borderId="20" xfId="0" applyNumberFormat="1" applyFont="1" applyFill="1" applyBorder="1" applyAlignment="1" applyProtection="1">
      <alignment horizontal="center" vertical="center"/>
      <protection/>
    </xf>
    <xf numFmtId="167" fontId="0" fillId="37" borderId="2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167" fontId="5" fillId="33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 applyProtection="1">
      <alignment horizontal="center" vertical="center"/>
      <protection/>
    </xf>
    <xf numFmtId="167" fontId="12" fillId="33" borderId="0" xfId="0" applyNumberFormat="1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 applyProtection="1">
      <alignment vertical="center"/>
      <protection/>
    </xf>
    <xf numFmtId="167" fontId="12" fillId="33" borderId="0" xfId="0" applyNumberFormat="1" applyFont="1" applyFill="1" applyAlignment="1" applyProtection="1">
      <alignment vertical="center"/>
      <protection/>
    </xf>
    <xf numFmtId="9" fontId="5" fillId="33" borderId="0" xfId="57" applyFont="1" applyFill="1" applyBorder="1" applyAlignment="1" applyProtection="1">
      <alignment vertical="center"/>
      <protection/>
    </xf>
    <xf numFmtId="10" fontId="5" fillId="33" borderId="0" xfId="57" applyNumberFormat="1" applyFont="1" applyFill="1" applyAlignment="1" applyProtection="1">
      <alignment horizontal="center" vertical="center" wrapText="1"/>
      <protection/>
    </xf>
    <xf numFmtId="0" fontId="14" fillId="39" borderId="30" xfId="0" applyFont="1" applyFill="1" applyBorder="1" applyAlignment="1">
      <alignment horizontal="justify" vertical="center"/>
    </xf>
    <xf numFmtId="0" fontId="13" fillId="39" borderId="30" xfId="0" applyFont="1" applyFill="1" applyBorder="1" applyAlignment="1">
      <alignment horizontal="center" vertical="center" wrapText="1"/>
    </xf>
    <xf numFmtId="0" fontId="13" fillId="40" borderId="31" xfId="0" applyFont="1" applyFill="1" applyBorder="1" applyAlignment="1">
      <alignment horizontal="center" vertical="center" wrapText="1"/>
    </xf>
    <xf numFmtId="0" fontId="13" fillId="40" borderId="30" xfId="0" applyFont="1" applyFill="1" applyBorder="1" applyAlignment="1">
      <alignment horizontal="center" vertical="center"/>
    </xf>
    <xf numFmtId="0" fontId="13" fillId="40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167" fontId="9" fillId="36" borderId="32" xfId="0" applyNumberFormat="1" applyFont="1" applyFill="1" applyBorder="1" applyAlignment="1" applyProtection="1">
      <alignment horizontal="center" vertical="center"/>
      <protection/>
    </xf>
    <xf numFmtId="167" fontId="9" fillId="36" borderId="32" xfId="0" applyNumberFormat="1" applyFont="1" applyFill="1" applyBorder="1" applyAlignment="1" applyProtection="1">
      <alignment horizontal="center" vertical="center" wrapText="1"/>
      <protection/>
    </xf>
    <xf numFmtId="0" fontId="9" fillId="41" borderId="32" xfId="0" applyFont="1" applyFill="1" applyBorder="1" applyAlignment="1">
      <alignment horizontal="center" wrapText="1"/>
    </xf>
    <xf numFmtId="0" fontId="9" fillId="41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0" fillId="34" borderId="3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165" fontId="13" fillId="39" borderId="30" xfId="79" applyFont="1" applyFill="1" applyBorder="1" applyAlignment="1">
      <alignment horizontal="center" vertical="center" wrapText="1"/>
    </xf>
    <xf numFmtId="165" fontId="13" fillId="42" borderId="30" xfId="0" applyNumberFormat="1" applyFont="1" applyFill="1" applyBorder="1" applyAlignment="1">
      <alignment horizontal="center" vertical="center" wrapText="1"/>
    </xf>
    <xf numFmtId="1" fontId="13" fillId="39" borderId="31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44" fontId="0" fillId="0" borderId="35" xfId="47" applyFill="1" applyBorder="1" applyAlignment="1" applyProtection="1">
      <alignment horizontal="center" vertical="center" wrapText="1"/>
      <protection/>
    </xf>
    <xf numFmtId="44" fontId="0" fillId="0" borderId="36" xfId="47" applyFill="1" applyBorder="1" applyAlignment="1" applyProtection="1">
      <alignment horizontal="center" vertical="center" wrapText="1"/>
      <protection/>
    </xf>
    <xf numFmtId="44" fontId="0" fillId="0" borderId="25" xfId="47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165" fontId="0" fillId="0" borderId="35" xfId="79" applyFill="1" applyBorder="1" applyAlignment="1" applyProtection="1">
      <alignment vertical="center" wrapText="1"/>
      <protection/>
    </xf>
    <xf numFmtId="165" fontId="0" fillId="0" borderId="39" xfId="79" applyFill="1" applyBorder="1" applyAlignment="1" applyProtection="1">
      <alignment vertical="center" wrapText="1"/>
      <protection/>
    </xf>
    <xf numFmtId="0" fontId="0" fillId="0" borderId="25" xfId="0" applyBorder="1" applyAlignment="1">
      <alignment/>
    </xf>
    <xf numFmtId="0" fontId="13" fillId="42" borderId="40" xfId="0" applyFont="1" applyFill="1" applyBorder="1" applyAlignment="1">
      <alignment horizontal="center" vertical="center" wrapText="1"/>
    </xf>
    <xf numFmtId="0" fontId="13" fillId="42" borderId="41" xfId="0" applyFont="1" applyFill="1" applyBorder="1" applyAlignment="1">
      <alignment horizontal="center" vertical="center" wrapText="1"/>
    </xf>
    <xf numFmtId="0" fontId="13" fillId="42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165" fontId="0" fillId="33" borderId="46" xfId="79" applyFill="1" applyBorder="1" applyAlignment="1" applyProtection="1">
      <alignment horizontal="center" vertical="center"/>
      <protection/>
    </xf>
    <xf numFmtId="165" fontId="6" fillId="33" borderId="46" xfId="79" applyFont="1" applyFill="1" applyBorder="1" applyAlignment="1" applyProtection="1">
      <alignment horizontal="center" vertical="center"/>
      <protection/>
    </xf>
    <xf numFmtId="165" fontId="6" fillId="33" borderId="47" xfId="79" applyFont="1" applyFill="1" applyBorder="1" applyAlignment="1" applyProtection="1">
      <alignment horizontal="center" vertical="center"/>
      <protection/>
    </xf>
    <xf numFmtId="2" fontId="6" fillId="33" borderId="26" xfId="0" applyNumberFormat="1" applyFont="1" applyFill="1" applyBorder="1" applyAlignment="1" applyProtection="1">
      <alignment horizontal="center" vertical="center"/>
      <protection/>
    </xf>
    <xf numFmtId="2" fontId="6" fillId="33" borderId="47" xfId="0" applyNumberFormat="1" applyFont="1" applyFill="1" applyBorder="1" applyAlignment="1" applyProtection="1">
      <alignment horizontal="center" vertical="center"/>
      <protection/>
    </xf>
    <xf numFmtId="167" fontId="6" fillId="33" borderId="0" xfId="0" applyNumberFormat="1" applyFont="1" applyFill="1" applyBorder="1" applyAlignment="1" applyProtection="1">
      <alignment horizontal="center" vertical="center" wrapText="1"/>
      <protection/>
    </xf>
    <xf numFmtId="167" fontId="6" fillId="33" borderId="0" xfId="0" applyNumberFormat="1" applyFont="1" applyFill="1" applyBorder="1" applyAlignment="1" applyProtection="1">
      <alignment horizontal="center" vertical="center"/>
      <protection/>
    </xf>
    <xf numFmtId="167" fontId="6" fillId="36" borderId="48" xfId="0" applyNumberFormat="1" applyFont="1" applyFill="1" applyBorder="1" applyAlignment="1" applyProtection="1">
      <alignment horizontal="center" vertical="top" wrapText="1"/>
      <protection/>
    </xf>
    <xf numFmtId="165" fontId="0" fillId="33" borderId="49" xfId="79" applyFill="1" applyBorder="1" applyAlignment="1" applyProtection="1">
      <alignment horizontal="center" vertical="center"/>
      <protection/>
    </xf>
    <xf numFmtId="2" fontId="0" fillId="37" borderId="46" xfId="0" applyNumberFormat="1" applyFont="1" applyFill="1" applyBorder="1" applyAlignment="1" applyProtection="1">
      <alignment horizontal="center" vertical="center"/>
      <protection/>
    </xf>
    <xf numFmtId="167" fontId="6" fillId="36" borderId="26" xfId="0" applyNumberFormat="1" applyFont="1" applyFill="1" applyBorder="1" applyAlignment="1" applyProtection="1">
      <alignment horizontal="center" vertical="center"/>
      <protection locked="0"/>
    </xf>
    <xf numFmtId="167" fontId="6" fillId="33" borderId="48" xfId="0" applyNumberFormat="1" applyFont="1" applyFill="1" applyBorder="1" applyAlignment="1" applyProtection="1">
      <alignment horizontal="center" vertical="top" wrapText="1"/>
      <protection/>
    </xf>
    <xf numFmtId="2" fontId="0" fillId="37" borderId="49" xfId="0" applyNumberFormat="1" applyFont="1" applyFill="1" applyBorder="1" applyAlignment="1" applyProtection="1">
      <alignment horizontal="center" vertical="center"/>
      <protection/>
    </xf>
    <xf numFmtId="167" fontId="6" fillId="36" borderId="50" xfId="0" applyNumberFormat="1" applyFont="1" applyFill="1" applyBorder="1" applyAlignment="1" applyProtection="1">
      <alignment horizontal="center" vertical="center"/>
      <protection locked="0"/>
    </xf>
    <xf numFmtId="0" fontId="6" fillId="36" borderId="50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top" wrapText="1"/>
      <protection/>
    </xf>
    <xf numFmtId="0" fontId="6" fillId="33" borderId="51" xfId="0" applyFont="1" applyFill="1" applyBorder="1" applyAlignment="1" applyProtection="1">
      <alignment horizontal="center" vertical="top" wrapText="1"/>
      <protection/>
    </xf>
    <xf numFmtId="2" fontId="6" fillId="37" borderId="47" xfId="0" applyNumberFormat="1" applyFont="1" applyFill="1" applyBorder="1" applyAlignment="1" applyProtection="1">
      <alignment horizontal="center" vertical="center"/>
      <protection/>
    </xf>
    <xf numFmtId="2" fontId="6" fillId="33" borderId="46" xfId="0" applyNumberFormat="1" applyFont="1" applyFill="1" applyBorder="1" applyAlignment="1" applyProtection="1">
      <alignment horizontal="center" vertical="center"/>
      <protection/>
    </xf>
    <xf numFmtId="2" fontId="7" fillId="33" borderId="46" xfId="0" applyNumberFormat="1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167" fontId="0" fillId="37" borderId="48" xfId="0" applyNumberFormat="1" applyFont="1" applyFill="1" applyBorder="1" applyAlignment="1" applyProtection="1">
      <alignment horizontal="center" vertical="center"/>
      <protection/>
    </xf>
    <xf numFmtId="167" fontId="0" fillId="37" borderId="46" xfId="0" applyNumberFormat="1" applyFont="1" applyFill="1" applyBorder="1" applyAlignment="1" applyProtection="1">
      <alignment horizontal="center" vertical="center"/>
      <protection/>
    </xf>
    <xf numFmtId="167" fontId="6" fillId="37" borderId="47" xfId="0" applyNumberFormat="1" applyFont="1" applyFill="1" applyBorder="1" applyAlignment="1" applyProtection="1">
      <alignment horizontal="center" vertical="center"/>
      <protection/>
    </xf>
    <xf numFmtId="16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6" borderId="26" xfId="0" applyFont="1" applyFill="1" applyBorder="1" applyAlignment="1" applyProtection="1">
      <alignment horizontal="center" vertical="center"/>
      <protection locked="0"/>
    </xf>
    <xf numFmtId="167" fontId="0" fillId="37" borderId="46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4" fontId="0" fillId="33" borderId="48" xfId="0" applyNumberFormat="1" applyFont="1" applyFill="1" applyBorder="1" applyAlignment="1" applyProtection="1">
      <alignment horizontal="center" vertical="center"/>
      <protection/>
    </xf>
    <xf numFmtId="4" fontId="0" fillId="33" borderId="46" xfId="0" applyNumberFormat="1" applyFont="1" applyFill="1" applyBorder="1" applyAlignment="1" applyProtection="1">
      <alignment horizontal="center" vertical="center"/>
      <protection locked="0"/>
    </xf>
    <xf numFmtId="4" fontId="0" fillId="33" borderId="46" xfId="0" applyNumberFormat="1" applyFont="1" applyFill="1" applyBorder="1" applyAlignment="1" applyProtection="1">
      <alignment horizontal="center" vertical="center"/>
      <protection/>
    </xf>
    <xf numFmtId="4" fontId="6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6" borderId="54" xfId="0" applyFont="1" applyFill="1" applyBorder="1" applyAlignment="1" applyProtection="1">
      <alignment horizontal="center" vertical="center"/>
      <protection locked="0"/>
    </xf>
    <xf numFmtId="0" fontId="6" fillId="33" borderId="55" xfId="0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2" fontId="0" fillId="33" borderId="46" xfId="0" applyNumberFormat="1" applyFont="1" applyFill="1" applyBorder="1" applyAlignment="1">
      <alignment horizontal="center" vertical="center"/>
    </xf>
    <xf numFmtId="165" fontId="0" fillId="33" borderId="46" xfId="79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 wrapText="1"/>
    </xf>
    <xf numFmtId="166" fontId="0" fillId="33" borderId="47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/>
    </xf>
    <xf numFmtId="14" fontId="6" fillId="0" borderId="57" xfId="0" applyNumberFormat="1" applyFont="1" applyBorder="1" applyAlignment="1">
      <alignment horizontal="center" vertical="center" wrapText="1"/>
    </xf>
    <xf numFmtId="14" fontId="6" fillId="0" borderId="58" xfId="0" applyNumberFormat="1" applyFont="1" applyBorder="1" applyAlignment="1">
      <alignment horizontal="center" vertical="center" wrapText="1"/>
    </xf>
    <xf numFmtId="14" fontId="6" fillId="0" borderId="59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70" xfId="0" applyFont="1" applyBorder="1" applyAlignment="1">
      <alignment horizont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Moeda 4" xfId="52"/>
    <cellStyle name="Neutra" xfId="53"/>
    <cellStyle name="Normal 2" xfId="54"/>
    <cellStyle name="Normal 3" xfId="55"/>
    <cellStyle name="Nota" xfId="56"/>
    <cellStyle name="Percent" xfId="57"/>
    <cellStyle name="Porcentagem 2" xfId="58"/>
    <cellStyle name="Porcentagem 2 2" xfId="59"/>
    <cellStyle name="Porcentagem 3" xfId="60"/>
    <cellStyle name="Porcentagem 3 2" xfId="61"/>
    <cellStyle name="Saída" xfId="62"/>
    <cellStyle name="Comma [0]" xfId="63"/>
    <cellStyle name="Separador de milhares 2" xfId="64"/>
    <cellStyle name="Separador de milhares 2 2" xfId="65"/>
    <cellStyle name="Separador de milhares 3" xfId="66"/>
    <cellStyle name="Separador de milhares 3 2" xfId="67"/>
    <cellStyle name="TableStyleLight1" xfId="68"/>
    <cellStyle name="Texto de Aviso" xfId="69"/>
    <cellStyle name="Texto Explicativo" xfId="70"/>
    <cellStyle name="Título" xfId="71"/>
    <cellStyle name="Título 1" xfId="72"/>
    <cellStyle name="Título 1 1" xfId="73"/>
    <cellStyle name="Título 1 1 1" xfId="74"/>
    <cellStyle name="Título 2" xfId="75"/>
    <cellStyle name="Título 3" xfId="76"/>
    <cellStyle name="Título 4" xfId="77"/>
    <cellStyle name="Total" xfId="78"/>
    <cellStyle name="Comm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E0E0E0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SheetLayoutView="100" zoomScalePageLayoutView="0" workbookViewId="0" topLeftCell="A1">
      <selection activeCell="G11" sqref="G11"/>
    </sheetView>
  </sheetViews>
  <sheetFormatPr defaultColWidth="11.421875" defaultRowHeight="12.75"/>
  <cols>
    <col min="1" max="1" width="3.421875" style="1" customWidth="1"/>
    <col min="2" max="2" width="8.140625" style="1" customWidth="1"/>
    <col min="3" max="3" width="58.28125" style="1" customWidth="1"/>
    <col min="4" max="4" width="22.8515625" style="1" customWidth="1"/>
    <col min="5" max="5" width="20.57421875" style="89" customWidth="1"/>
    <col min="6" max="6" width="20.8515625" style="89" customWidth="1"/>
    <col min="7" max="7" width="19.00390625" style="89" customWidth="1"/>
    <col min="8" max="8" width="20.7109375" style="89" customWidth="1"/>
    <col min="9" max="9" width="28.00390625" style="1" customWidth="1"/>
    <col min="10" max="10" width="16.57421875" style="1" bestFit="1" customWidth="1"/>
    <col min="11" max="12" width="11.421875" style="90" customWidth="1"/>
    <col min="13" max="14" width="11.421875" style="93" customWidth="1"/>
    <col min="15" max="15" width="14.8515625" style="90" customWidth="1"/>
    <col min="16" max="16384" width="11.421875" style="1" customWidth="1"/>
  </cols>
  <sheetData>
    <row r="1" spans="1:15" s="2" customFormat="1" ht="31.5" customHeight="1" thickBot="1">
      <c r="A1" s="1"/>
      <c r="B1" s="127" t="s">
        <v>158</v>
      </c>
      <c r="C1" s="128"/>
      <c r="D1" s="128"/>
      <c r="E1" s="128"/>
      <c r="F1" s="128"/>
      <c r="G1" s="128"/>
      <c r="H1" s="129"/>
      <c r="I1" s="103"/>
      <c r="J1" s="103"/>
      <c r="K1" s="103"/>
      <c r="L1" s="103"/>
      <c r="M1" s="103"/>
      <c r="N1" s="103"/>
      <c r="O1" s="103"/>
    </row>
    <row r="2" spans="2:15" s="21" customFormat="1" ht="24.75" thickBot="1">
      <c r="B2" s="100" t="s">
        <v>120</v>
      </c>
      <c r="C2" s="101"/>
      <c r="D2" s="102" t="s">
        <v>121</v>
      </c>
      <c r="E2" s="102" t="s">
        <v>122</v>
      </c>
      <c r="F2" s="102" t="s">
        <v>104</v>
      </c>
      <c r="G2" s="102" t="s">
        <v>123</v>
      </c>
      <c r="H2" s="102" t="s">
        <v>124</v>
      </c>
      <c r="K2" s="91"/>
      <c r="L2" s="91"/>
      <c r="M2" s="94"/>
      <c r="N2" s="94"/>
      <c r="O2" s="91"/>
    </row>
    <row r="3" spans="2:15" s="21" customFormat="1" ht="48.75" thickBot="1">
      <c r="B3" s="113">
        <v>1</v>
      </c>
      <c r="C3" s="98" t="s">
        <v>160</v>
      </c>
      <c r="D3" s="99">
        <v>2</v>
      </c>
      <c r="E3" s="99">
        <v>24</v>
      </c>
      <c r="F3" s="111">
        <f>'Item 01'!C125</f>
        <v>2931.227753883592</v>
      </c>
      <c r="G3" s="111">
        <f aca="true" t="shared" si="0" ref="G3:G8">F3*D3</f>
        <v>5862.455507767184</v>
      </c>
      <c r="H3" s="111">
        <f aca="true" t="shared" si="1" ref="H3:H8">G3*12</f>
        <v>70349.46609320621</v>
      </c>
      <c r="K3" s="91"/>
      <c r="L3" s="91"/>
      <c r="M3" s="94"/>
      <c r="N3" s="94"/>
      <c r="O3" s="91"/>
    </row>
    <row r="4" spans="2:15" s="21" customFormat="1" ht="48.75" thickBot="1">
      <c r="B4" s="113">
        <v>2</v>
      </c>
      <c r="C4" s="98" t="s">
        <v>161</v>
      </c>
      <c r="D4" s="99">
        <v>1</v>
      </c>
      <c r="E4" s="99">
        <v>12</v>
      </c>
      <c r="F4" s="111">
        <f>'Item 02'!C125</f>
        <v>3012.2335350808203</v>
      </c>
      <c r="G4" s="111">
        <f>F4*D4</f>
        <v>3012.2335350808203</v>
      </c>
      <c r="H4" s="111">
        <f t="shared" si="1"/>
        <v>36146.80242096984</v>
      </c>
      <c r="K4" s="91"/>
      <c r="L4" s="91"/>
      <c r="M4" s="94"/>
      <c r="N4" s="94"/>
      <c r="O4" s="91"/>
    </row>
    <row r="5" spans="2:15" s="21" customFormat="1" ht="48.75" thickBot="1">
      <c r="B5" s="113">
        <v>3</v>
      </c>
      <c r="C5" s="98" t="s">
        <v>162</v>
      </c>
      <c r="D5" s="99">
        <v>3</v>
      </c>
      <c r="E5" s="99">
        <v>36</v>
      </c>
      <c r="F5" s="111">
        <f>'Item 03'!C125</f>
        <v>2982.50287494278</v>
      </c>
      <c r="G5" s="111">
        <f t="shared" si="0"/>
        <v>8947.50862482834</v>
      </c>
      <c r="H5" s="111">
        <f t="shared" si="1"/>
        <v>107370.10349794009</v>
      </c>
      <c r="K5" s="91"/>
      <c r="L5" s="91"/>
      <c r="M5" s="94"/>
      <c r="N5" s="94"/>
      <c r="O5" s="91"/>
    </row>
    <row r="6" spans="1:15" s="21" customFormat="1" ht="48.75" thickBot="1">
      <c r="A6" s="44"/>
      <c r="B6" s="113">
        <v>4</v>
      </c>
      <c r="C6" s="98" t="s">
        <v>163</v>
      </c>
      <c r="D6" s="99">
        <v>1</v>
      </c>
      <c r="E6" s="99">
        <v>12</v>
      </c>
      <c r="F6" s="111">
        <f>'Item 04'!C125</f>
        <v>3015.1090082539004</v>
      </c>
      <c r="G6" s="111">
        <f t="shared" si="0"/>
        <v>3015.1090082539004</v>
      </c>
      <c r="H6" s="111">
        <f t="shared" si="1"/>
        <v>36181.3080990468</v>
      </c>
      <c r="K6" s="91"/>
      <c r="L6" s="91"/>
      <c r="M6" s="94"/>
      <c r="N6" s="94"/>
      <c r="O6" s="91"/>
    </row>
    <row r="7" spans="1:15" s="21" customFormat="1" ht="48.75" thickBot="1">
      <c r="A7" s="44"/>
      <c r="B7" s="113">
        <v>5</v>
      </c>
      <c r="C7" s="98" t="s">
        <v>164</v>
      </c>
      <c r="D7" s="99">
        <v>1</v>
      </c>
      <c r="E7" s="99">
        <v>12</v>
      </c>
      <c r="F7" s="111">
        <f>'Item 05'!C125</f>
        <v>2993.3715860464868</v>
      </c>
      <c r="G7" s="111">
        <f t="shared" si="0"/>
        <v>2993.3715860464868</v>
      </c>
      <c r="H7" s="111">
        <f t="shared" si="1"/>
        <v>35920.45903255784</v>
      </c>
      <c r="K7" s="91"/>
      <c r="L7" s="91"/>
      <c r="M7" s="94"/>
      <c r="N7" s="94"/>
      <c r="O7" s="91"/>
    </row>
    <row r="8" spans="2:15" s="40" customFormat="1" ht="48.75" thickBot="1">
      <c r="B8" s="113">
        <v>6</v>
      </c>
      <c r="C8" s="98" t="s">
        <v>165</v>
      </c>
      <c r="D8" s="99">
        <v>1</v>
      </c>
      <c r="E8" s="99">
        <v>12</v>
      </c>
      <c r="F8" s="111">
        <f>'Item 06'!C125</f>
        <v>3015.1090082539004</v>
      </c>
      <c r="G8" s="111">
        <f t="shared" si="0"/>
        <v>3015.1090082539004</v>
      </c>
      <c r="H8" s="111">
        <f t="shared" si="1"/>
        <v>36181.3080990468</v>
      </c>
      <c r="K8" s="92"/>
      <c r="L8" s="92"/>
      <c r="M8" s="95"/>
      <c r="N8" s="95"/>
      <c r="O8" s="92"/>
    </row>
    <row r="9" spans="2:15" s="40" customFormat="1" ht="15" customHeight="1" thickBot="1">
      <c r="B9" s="124" t="s">
        <v>125</v>
      </c>
      <c r="C9" s="125"/>
      <c r="D9" s="125"/>
      <c r="E9" s="125"/>
      <c r="F9" s="125"/>
      <c r="G9" s="126"/>
      <c r="H9" s="112">
        <f>SUM(H3:H8)</f>
        <v>322149.4472427676</v>
      </c>
      <c r="K9" s="92"/>
      <c r="L9" s="92"/>
      <c r="M9" s="95"/>
      <c r="N9" s="95"/>
      <c r="O9" s="92"/>
    </row>
    <row r="10" spans="5:15" s="40" customFormat="1" ht="15" customHeight="1">
      <c r="E10" s="88"/>
      <c r="F10" s="88"/>
      <c r="G10" s="88"/>
      <c r="H10" s="88"/>
      <c r="K10" s="92"/>
      <c r="L10" s="92"/>
      <c r="M10" s="95"/>
      <c r="N10" s="95"/>
      <c r="O10" s="92"/>
    </row>
    <row r="11" spans="5:15" s="40" customFormat="1" ht="15" customHeight="1">
      <c r="E11" s="88"/>
      <c r="F11" s="88"/>
      <c r="G11" s="88"/>
      <c r="H11" s="88"/>
      <c r="K11" s="92"/>
      <c r="L11" s="92"/>
      <c r="M11" s="95"/>
      <c r="N11" s="95"/>
      <c r="O11" s="92"/>
    </row>
    <row r="12" spans="5:15" s="40" customFormat="1" ht="15" customHeight="1">
      <c r="E12" s="88"/>
      <c r="F12" s="88"/>
      <c r="G12" s="88"/>
      <c r="H12" s="88"/>
      <c r="K12" s="92"/>
      <c r="L12" s="92"/>
      <c r="M12" s="95"/>
      <c r="N12" s="95"/>
      <c r="O12" s="92"/>
    </row>
    <row r="13" spans="5:15" s="40" customFormat="1" ht="15" customHeight="1">
      <c r="E13" s="88"/>
      <c r="F13" s="88"/>
      <c r="G13" s="88"/>
      <c r="H13" s="88"/>
      <c r="K13" s="92"/>
      <c r="L13" s="92"/>
      <c r="M13" s="95"/>
      <c r="N13" s="95"/>
      <c r="O13" s="92"/>
    </row>
    <row r="14" spans="5:15" s="40" customFormat="1" ht="15" customHeight="1">
      <c r="E14" s="88"/>
      <c r="F14" s="88"/>
      <c r="G14" s="88"/>
      <c r="H14" s="88"/>
      <c r="K14" s="92"/>
      <c r="L14" s="92"/>
      <c r="M14" s="95"/>
      <c r="N14" s="95"/>
      <c r="O14" s="92"/>
    </row>
    <row r="15" spans="5:15" s="40" customFormat="1" ht="15" customHeight="1">
      <c r="E15" s="88"/>
      <c r="F15" s="88"/>
      <c r="G15" s="88"/>
      <c r="H15" s="88"/>
      <c r="K15" s="92"/>
      <c r="L15" s="92"/>
      <c r="M15" s="95"/>
      <c r="N15" s="95"/>
      <c r="O15" s="92"/>
    </row>
    <row r="16" spans="5:15" s="40" customFormat="1" ht="15" customHeight="1">
      <c r="E16" s="88"/>
      <c r="F16" s="88"/>
      <c r="G16" s="88"/>
      <c r="H16" s="88"/>
      <c r="K16" s="92"/>
      <c r="L16" s="92"/>
      <c r="M16" s="95"/>
      <c r="N16" s="95"/>
      <c r="O16" s="92"/>
    </row>
    <row r="17" spans="2:15" s="40" customFormat="1" ht="15" customHeight="1">
      <c r="B17" s="96"/>
      <c r="E17" s="88"/>
      <c r="F17" s="88"/>
      <c r="G17" s="88"/>
      <c r="H17" s="88"/>
      <c r="K17" s="92"/>
      <c r="L17" s="92"/>
      <c r="M17" s="95"/>
      <c r="N17" s="95"/>
      <c r="O17" s="92"/>
    </row>
    <row r="18" spans="5:15" s="40" customFormat="1" ht="15" customHeight="1">
      <c r="E18" s="88"/>
      <c r="F18" s="88"/>
      <c r="G18" s="88"/>
      <c r="H18" s="88"/>
      <c r="K18" s="92"/>
      <c r="L18" s="92"/>
      <c r="M18" s="95"/>
      <c r="N18" s="95"/>
      <c r="O18" s="92"/>
    </row>
    <row r="19" spans="5:15" s="40" customFormat="1" ht="15" customHeight="1">
      <c r="E19" s="88"/>
      <c r="F19" s="88"/>
      <c r="G19" s="88"/>
      <c r="H19" s="88"/>
      <c r="K19" s="92"/>
      <c r="L19" s="92"/>
      <c r="M19" s="95"/>
      <c r="N19" s="95"/>
      <c r="O19" s="92"/>
    </row>
    <row r="20" spans="5:15" s="40" customFormat="1" ht="15" customHeight="1">
      <c r="E20" s="88"/>
      <c r="F20" s="88"/>
      <c r="G20" s="88"/>
      <c r="H20" s="88"/>
      <c r="K20" s="92"/>
      <c r="L20" s="92"/>
      <c r="M20" s="95"/>
      <c r="N20" s="95"/>
      <c r="O20" s="92"/>
    </row>
    <row r="21" spans="5:15" s="40" customFormat="1" ht="15" customHeight="1">
      <c r="E21" s="88"/>
      <c r="F21" s="88"/>
      <c r="G21" s="88"/>
      <c r="H21" s="88"/>
      <c r="K21" s="92"/>
      <c r="L21" s="92"/>
      <c r="M21" s="95"/>
      <c r="N21" s="95"/>
      <c r="O21" s="92"/>
    </row>
    <row r="22" spans="5:15" s="40" customFormat="1" ht="15" customHeight="1">
      <c r="E22" s="97"/>
      <c r="F22" s="88"/>
      <c r="G22" s="88"/>
      <c r="H22" s="88"/>
      <c r="K22" s="92"/>
      <c r="L22" s="92"/>
      <c r="M22" s="95"/>
      <c r="N22" s="95"/>
      <c r="O22" s="92"/>
    </row>
    <row r="23" spans="5:15" s="40" customFormat="1" ht="15" customHeight="1">
      <c r="E23" s="97"/>
      <c r="F23" s="88"/>
      <c r="G23" s="88"/>
      <c r="H23" s="88"/>
      <c r="K23" s="92"/>
      <c r="L23" s="92"/>
      <c r="M23" s="95"/>
      <c r="N23" s="95"/>
      <c r="O23" s="92"/>
    </row>
    <row r="24" spans="5:15" s="40" customFormat="1" ht="15" customHeight="1">
      <c r="E24" s="88"/>
      <c r="F24" s="88"/>
      <c r="G24" s="88"/>
      <c r="H24" s="88"/>
      <c r="K24" s="92"/>
      <c r="L24" s="92"/>
      <c r="M24" s="95"/>
      <c r="N24" s="95"/>
      <c r="O24" s="92"/>
    </row>
    <row r="25" spans="5:15" s="40" customFormat="1" ht="15" customHeight="1">
      <c r="E25" s="88"/>
      <c r="F25" s="88"/>
      <c r="G25" s="88"/>
      <c r="H25" s="88"/>
      <c r="K25" s="92"/>
      <c r="L25" s="92"/>
      <c r="M25" s="95"/>
      <c r="N25" s="95"/>
      <c r="O25" s="92"/>
    </row>
    <row r="26" spans="5:15" s="40" customFormat="1" ht="15" customHeight="1">
      <c r="E26" s="88"/>
      <c r="F26" s="88"/>
      <c r="G26" s="88"/>
      <c r="H26" s="88"/>
      <c r="K26" s="92"/>
      <c r="L26" s="92"/>
      <c r="M26" s="95"/>
      <c r="N26" s="95"/>
      <c r="O26" s="92"/>
    </row>
    <row r="27" spans="5:15" s="40" customFormat="1" ht="15" customHeight="1">
      <c r="E27" s="88"/>
      <c r="F27" s="88"/>
      <c r="G27" s="88"/>
      <c r="H27" s="88"/>
      <c r="K27" s="92"/>
      <c r="L27" s="92"/>
      <c r="M27" s="95"/>
      <c r="N27" s="95"/>
      <c r="O27" s="92"/>
    </row>
    <row r="28" spans="5:15" s="40" customFormat="1" ht="15" customHeight="1">
      <c r="E28" s="88"/>
      <c r="F28" s="88"/>
      <c r="G28" s="88"/>
      <c r="H28" s="88"/>
      <c r="K28" s="92"/>
      <c r="L28" s="92"/>
      <c r="M28" s="95"/>
      <c r="N28" s="95"/>
      <c r="O28" s="92"/>
    </row>
    <row r="29" spans="5:15" s="40" customFormat="1" ht="15" customHeight="1">
      <c r="E29" s="88"/>
      <c r="F29" s="88"/>
      <c r="G29" s="88"/>
      <c r="H29" s="88"/>
      <c r="K29" s="92"/>
      <c r="L29" s="92"/>
      <c r="M29" s="95"/>
      <c r="N29" s="95"/>
      <c r="O29" s="92"/>
    </row>
    <row r="30" spans="5:15" s="40" customFormat="1" ht="15" customHeight="1">
      <c r="E30" s="88"/>
      <c r="F30" s="88"/>
      <c r="G30" s="88"/>
      <c r="H30" s="88"/>
      <c r="K30" s="92"/>
      <c r="L30" s="92"/>
      <c r="M30" s="95"/>
      <c r="N30" s="95"/>
      <c r="O30" s="92"/>
    </row>
    <row r="31" spans="5:15" s="40" customFormat="1" ht="15" customHeight="1">
      <c r="E31" s="88"/>
      <c r="F31" s="88"/>
      <c r="G31" s="88"/>
      <c r="H31" s="88"/>
      <c r="K31" s="92"/>
      <c r="L31" s="92"/>
      <c r="M31" s="95"/>
      <c r="N31" s="95"/>
      <c r="O31" s="92"/>
    </row>
    <row r="32" spans="5:15" s="40" customFormat="1" ht="15" customHeight="1">
      <c r="E32" s="88"/>
      <c r="F32" s="88"/>
      <c r="G32" s="88"/>
      <c r="H32" s="88"/>
      <c r="K32" s="92"/>
      <c r="L32" s="92"/>
      <c r="M32" s="95"/>
      <c r="N32" s="95"/>
      <c r="O32" s="92"/>
    </row>
    <row r="33" spans="5:15" s="40" customFormat="1" ht="15" customHeight="1">
      <c r="E33" s="88"/>
      <c r="F33" s="88"/>
      <c r="G33" s="88"/>
      <c r="H33" s="88"/>
      <c r="K33" s="92"/>
      <c r="L33" s="92"/>
      <c r="M33" s="95"/>
      <c r="N33" s="95"/>
      <c r="O33" s="92"/>
    </row>
    <row r="34" spans="5:15" s="40" customFormat="1" ht="15" customHeight="1">
      <c r="E34" s="88"/>
      <c r="F34" s="88"/>
      <c r="G34" s="88"/>
      <c r="H34" s="88"/>
      <c r="K34" s="92"/>
      <c r="L34" s="92"/>
      <c r="M34" s="95"/>
      <c r="N34" s="95"/>
      <c r="O34" s="92"/>
    </row>
    <row r="35" spans="5:15" s="40" customFormat="1" ht="15" customHeight="1">
      <c r="E35" s="88"/>
      <c r="F35" s="88"/>
      <c r="G35" s="88"/>
      <c r="H35" s="88"/>
      <c r="K35" s="92"/>
      <c r="L35" s="92"/>
      <c r="M35" s="95"/>
      <c r="N35" s="95"/>
      <c r="O35" s="92"/>
    </row>
    <row r="36" spans="5:15" s="40" customFormat="1" ht="15" customHeight="1">
      <c r="E36" s="88"/>
      <c r="F36" s="88"/>
      <c r="G36" s="88"/>
      <c r="H36" s="88"/>
      <c r="K36" s="92"/>
      <c r="L36" s="92"/>
      <c r="M36" s="95"/>
      <c r="N36" s="95"/>
      <c r="O36" s="92"/>
    </row>
    <row r="37" spans="5:15" s="40" customFormat="1" ht="15" customHeight="1">
      <c r="E37" s="88"/>
      <c r="F37" s="88"/>
      <c r="G37" s="88"/>
      <c r="H37" s="88"/>
      <c r="K37" s="92"/>
      <c r="L37" s="92"/>
      <c r="M37" s="95"/>
      <c r="N37" s="95"/>
      <c r="O37" s="92"/>
    </row>
    <row r="38" spans="5:15" s="40" customFormat="1" ht="15" customHeight="1">
      <c r="E38" s="88"/>
      <c r="F38" s="88"/>
      <c r="G38" s="88"/>
      <c r="H38" s="88"/>
      <c r="K38" s="92"/>
      <c r="L38" s="92"/>
      <c r="M38" s="95"/>
      <c r="N38" s="95"/>
      <c r="O38" s="92"/>
    </row>
    <row r="39" spans="5:15" s="40" customFormat="1" ht="15" customHeight="1">
      <c r="E39" s="88"/>
      <c r="F39" s="88"/>
      <c r="G39" s="88"/>
      <c r="H39" s="88"/>
      <c r="K39" s="92"/>
      <c r="L39" s="92"/>
      <c r="M39" s="95"/>
      <c r="N39" s="95"/>
      <c r="O39" s="92"/>
    </row>
    <row r="40" spans="5:15" s="40" customFormat="1" ht="15" customHeight="1">
      <c r="E40" s="88"/>
      <c r="F40" s="88"/>
      <c r="G40" s="88"/>
      <c r="H40" s="88"/>
      <c r="K40" s="92"/>
      <c r="L40" s="92"/>
      <c r="M40" s="95"/>
      <c r="N40" s="95"/>
      <c r="O40" s="92"/>
    </row>
    <row r="41" spans="5:15" s="40" customFormat="1" ht="15" customHeight="1">
      <c r="E41" s="88"/>
      <c r="F41" s="88"/>
      <c r="G41" s="88"/>
      <c r="H41" s="88"/>
      <c r="K41" s="92"/>
      <c r="L41" s="92"/>
      <c r="M41" s="95"/>
      <c r="N41" s="95"/>
      <c r="O41" s="92"/>
    </row>
    <row r="42" spans="5:15" s="40" customFormat="1" ht="15" customHeight="1">
      <c r="E42" s="88"/>
      <c r="F42" s="88"/>
      <c r="G42" s="88"/>
      <c r="H42" s="88"/>
      <c r="K42" s="92"/>
      <c r="L42" s="92"/>
      <c r="M42" s="95"/>
      <c r="N42" s="95"/>
      <c r="O42" s="92"/>
    </row>
    <row r="43" spans="5:15" s="40" customFormat="1" ht="15" customHeight="1">
      <c r="E43" s="88"/>
      <c r="F43" s="88"/>
      <c r="G43" s="88"/>
      <c r="H43" s="88"/>
      <c r="K43" s="92"/>
      <c r="L43" s="92"/>
      <c r="M43" s="95"/>
      <c r="N43" s="95"/>
      <c r="O43" s="92"/>
    </row>
    <row r="44" spans="5:15" s="40" customFormat="1" ht="15" customHeight="1">
      <c r="E44" s="88"/>
      <c r="F44" s="88"/>
      <c r="G44" s="88"/>
      <c r="H44" s="88"/>
      <c r="K44" s="92"/>
      <c r="L44" s="92"/>
      <c r="M44" s="95"/>
      <c r="N44" s="95"/>
      <c r="O44" s="92"/>
    </row>
    <row r="45" spans="1:15" s="2" customFormat="1" ht="11.25">
      <c r="A45" s="1"/>
      <c r="C45" s="1"/>
      <c r="D45" s="1"/>
      <c r="E45" s="89"/>
      <c r="F45" s="89"/>
      <c r="G45" s="89"/>
      <c r="H45" s="89"/>
      <c r="I45" s="1"/>
      <c r="J45" s="1"/>
      <c r="K45" s="90"/>
      <c r="L45" s="90"/>
      <c r="M45" s="93"/>
      <c r="N45" s="93"/>
      <c r="O45" s="90"/>
    </row>
    <row r="46" spans="1:15" s="2" customFormat="1" ht="11.25">
      <c r="A46" s="1"/>
      <c r="C46" s="1"/>
      <c r="D46" s="1"/>
      <c r="E46" s="89"/>
      <c r="F46" s="89"/>
      <c r="G46" s="89"/>
      <c r="H46" s="89"/>
      <c r="I46" s="1"/>
      <c r="J46" s="1"/>
      <c r="K46" s="90"/>
      <c r="L46" s="90"/>
      <c r="M46" s="93"/>
      <c r="N46" s="93"/>
      <c r="O46" s="90"/>
    </row>
    <row r="47" ht="11.25">
      <c r="B47" s="2"/>
    </row>
    <row r="48" ht="11.25">
      <c r="B48" s="2"/>
    </row>
  </sheetData>
  <sheetProtection selectLockedCells="1" selectUnlockedCells="1"/>
  <mergeCells count="2">
    <mergeCell ref="B9:G9"/>
    <mergeCell ref="B1:H1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77" r:id="rId1"/>
  <headerFooter alignWithMargins="0">
    <oddHeader>&amp;C&amp;"Times New Roman,Normal"&amp;12&amp;A</oddHeader>
    <oddFooter>&amp;C&amp;"Times New Roman,Normal"&amp;12Página &amp;P</oddFooter>
  </headerFooter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4.00390625" style="0" bestFit="1" customWidth="1"/>
    <col min="2" max="2" width="24.8515625" style="0" customWidth="1"/>
    <col min="3" max="3" width="16.421875" style="0" customWidth="1"/>
    <col min="4" max="4" width="17.140625" style="0" customWidth="1"/>
  </cols>
  <sheetData>
    <row r="1" spans="1:8" ht="12.75">
      <c r="A1" s="195" t="s">
        <v>113</v>
      </c>
      <c r="B1" s="196"/>
      <c r="C1" s="196"/>
      <c r="D1" s="196"/>
      <c r="E1" s="197"/>
      <c r="F1" s="108"/>
      <c r="G1" s="108"/>
      <c r="H1" s="108"/>
    </row>
    <row r="2" spans="1:5" ht="38.25">
      <c r="A2" s="104"/>
      <c r="B2" s="105" t="s">
        <v>148</v>
      </c>
      <c r="C2" s="107" t="s">
        <v>149</v>
      </c>
      <c r="D2" s="106" t="s">
        <v>150</v>
      </c>
      <c r="E2" s="107" t="s">
        <v>112</v>
      </c>
    </row>
    <row r="3" spans="1:5" ht="12.75">
      <c r="A3" s="76" t="s">
        <v>110</v>
      </c>
      <c r="B3" s="77">
        <v>0.03</v>
      </c>
      <c r="C3" s="78">
        <v>0.05</v>
      </c>
      <c r="D3" s="78">
        <v>0.1</v>
      </c>
      <c r="E3" s="78">
        <f>AVERAGE(B3:D3)</f>
        <v>0.06</v>
      </c>
    </row>
    <row r="4" spans="1:5" ht="12.75">
      <c r="A4" s="75" t="s">
        <v>111</v>
      </c>
      <c r="B4" s="73">
        <v>0.035</v>
      </c>
      <c r="C4" s="74">
        <v>0.0351</v>
      </c>
      <c r="D4" s="74">
        <v>0.0679</v>
      </c>
      <c r="E4" s="74">
        <f>AVERAGE(B4:D4)</f>
        <v>0.046000000000000006</v>
      </c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SheetLayoutView="100" zoomScalePageLayoutView="0" workbookViewId="0" topLeftCell="A107">
      <selection activeCell="G72" sqref="G72"/>
    </sheetView>
  </sheetViews>
  <sheetFormatPr defaultColWidth="11.421875" defaultRowHeight="12.75"/>
  <cols>
    <col min="1" max="1" width="3.421875" style="1" customWidth="1"/>
    <col min="2" max="2" width="65.7109375" style="1" customWidth="1"/>
    <col min="3" max="3" width="15.57421875" style="1" customWidth="1"/>
    <col min="4" max="4" width="15.7109375" style="1" customWidth="1"/>
    <col min="5" max="5" width="22.8515625" style="1" customWidth="1"/>
    <col min="6" max="6" width="20.57421875" style="2" customWidth="1"/>
    <col min="7" max="8" width="11.421875" style="1" customWidth="1"/>
    <col min="9" max="9" width="16.8515625" style="1" bestFit="1" customWidth="1"/>
    <col min="10" max="10" width="28.00390625" style="1" customWidth="1"/>
    <col min="11" max="11" width="16.57421875" style="1" bestFit="1" customWidth="1"/>
    <col min="12" max="16384" width="11.421875" style="1" customWidth="1"/>
  </cols>
  <sheetData>
    <row r="1" spans="2:5" ht="39" customHeight="1">
      <c r="B1" s="173" t="s">
        <v>159</v>
      </c>
      <c r="C1" s="173"/>
      <c r="D1" s="173"/>
      <c r="E1" s="173"/>
    </row>
    <row r="2" spans="2:5" ht="17.25" customHeight="1" thickBot="1">
      <c r="B2" s="3"/>
      <c r="C2" s="4"/>
      <c r="D2" s="4"/>
      <c r="E2" s="4"/>
    </row>
    <row r="3" spans="2:5" ht="17.25" customHeight="1" thickBot="1">
      <c r="B3" s="68" t="s">
        <v>0</v>
      </c>
      <c r="C3" s="174" t="s">
        <v>131</v>
      </c>
      <c r="D3" s="174"/>
      <c r="E3" s="174"/>
    </row>
    <row r="4" spans="2:5" ht="17.25" customHeight="1" thickBot="1">
      <c r="B4" s="3"/>
      <c r="C4" s="4"/>
      <c r="D4" s="4"/>
      <c r="E4" s="4"/>
    </row>
    <row r="5" spans="2:5" ht="17.25" customHeight="1">
      <c r="B5" s="85" t="s">
        <v>114</v>
      </c>
      <c r="C5" s="175" t="s">
        <v>118</v>
      </c>
      <c r="D5" s="176"/>
      <c r="E5" s="177"/>
    </row>
    <row r="6" spans="2:5" ht="15.75" customHeight="1">
      <c r="B6" s="86" t="s">
        <v>115</v>
      </c>
      <c r="C6" s="178" t="s">
        <v>119</v>
      </c>
      <c r="D6" s="179"/>
      <c r="E6" s="180"/>
    </row>
    <row r="7" spans="2:5" ht="15.75" customHeight="1">
      <c r="B7" s="86" t="s">
        <v>116</v>
      </c>
      <c r="C7" s="178" t="s">
        <v>126</v>
      </c>
      <c r="D7" s="179"/>
      <c r="E7" s="180"/>
    </row>
    <row r="8" spans="2:5" ht="15.75" customHeight="1" thickBot="1">
      <c r="B8" s="87" t="s">
        <v>117</v>
      </c>
      <c r="C8" s="181">
        <v>12</v>
      </c>
      <c r="D8" s="182"/>
      <c r="E8" s="183"/>
    </row>
    <row r="9" spans="2:5" ht="16.5" customHeight="1" thickBot="1">
      <c r="B9" s="167"/>
      <c r="C9" s="167"/>
      <c r="D9" s="167"/>
      <c r="E9" s="167"/>
    </row>
    <row r="10" spans="2:5" ht="15.75" customHeight="1">
      <c r="B10" s="5" t="s">
        <v>1</v>
      </c>
      <c r="C10" s="168" t="s">
        <v>132</v>
      </c>
      <c r="D10" s="168"/>
      <c r="E10" s="168"/>
    </row>
    <row r="11" spans="2:5" ht="15.75" customHeight="1">
      <c r="B11" s="6" t="s">
        <v>2</v>
      </c>
      <c r="C11" s="169">
        <f>30.42*(5/7)-(12*(5/7))/12</f>
        <v>21.014285714285716</v>
      </c>
      <c r="D11" s="169"/>
      <c r="E11" s="169"/>
    </row>
    <row r="12" spans="2:5" ht="12" customHeight="1">
      <c r="B12" s="7" t="s">
        <v>133</v>
      </c>
      <c r="C12" s="170">
        <v>1064.41</v>
      </c>
      <c r="D12" s="170"/>
      <c r="E12" s="170"/>
    </row>
    <row r="13" spans="2:5" ht="23.25" customHeight="1">
      <c r="B13" s="7" t="s">
        <v>3</v>
      </c>
      <c r="C13" s="171" t="s">
        <v>134</v>
      </c>
      <c r="D13" s="171"/>
      <c r="E13" s="171"/>
    </row>
    <row r="14" spans="2:5" ht="15.75" customHeight="1" thickBot="1">
      <c r="B14" s="8" t="s">
        <v>4</v>
      </c>
      <c r="C14" s="172">
        <v>42736</v>
      </c>
      <c r="D14" s="172"/>
      <c r="E14" s="172"/>
    </row>
    <row r="15" spans="2:5" ht="15" customHeight="1" thickBot="1">
      <c r="B15" s="9"/>
      <c r="C15" s="10"/>
      <c r="D15" s="11"/>
      <c r="E15" s="11"/>
    </row>
    <row r="16" spans="3:5" ht="15.75" customHeight="1" hidden="1" thickBot="1">
      <c r="C16" s="12"/>
      <c r="D16" s="12"/>
      <c r="E16" s="12"/>
    </row>
    <row r="17" spans="2:5" ht="15.75" customHeight="1">
      <c r="B17" s="165" t="s">
        <v>5</v>
      </c>
      <c r="C17" s="165"/>
      <c r="D17" s="165"/>
      <c r="E17" s="165"/>
    </row>
    <row r="18" spans="2:5" ht="15.75" customHeight="1">
      <c r="B18" s="13" t="s">
        <v>6</v>
      </c>
      <c r="C18" s="166" t="s">
        <v>7</v>
      </c>
      <c r="D18" s="166"/>
      <c r="E18" s="166"/>
    </row>
    <row r="19" spans="2:5" ht="15.75" customHeight="1">
      <c r="B19" s="14" t="s">
        <v>8</v>
      </c>
      <c r="C19" s="152">
        <f>(C12/44)*40</f>
        <v>967.6454545454545</v>
      </c>
      <c r="D19" s="152"/>
      <c r="E19" s="152"/>
    </row>
    <row r="20" spans="2:5" ht="15.75" customHeight="1">
      <c r="B20" s="14" t="s">
        <v>9</v>
      </c>
      <c r="C20" s="156"/>
      <c r="D20" s="156"/>
      <c r="E20" s="156"/>
    </row>
    <row r="21" spans="2:5" ht="15.75" customHeight="1">
      <c r="B21" s="14" t="s">
        <v>10</v>
      </c>
      <c r="C21" s="156"/>
      <c r="D21" s="156"/>
      <c r="E21" s="156"/>
    </row>
    <row r="22" spans="2:5" ht="15.75" customHeight="1">
      <c r="B22" s="15" t="s">
        <v>107</v>
      </c>
      <c r="C22" s="162"/>
      <c r="D22" s="162"/>
      <c r="E22" s="162"/>
    </row>
    <row r="23" spans="2:5" ht="15.75" customHeight="1">
      <c r="B23" s="15" t="s">
        <v>11</v>
      </c>
      <c r="C23" s="161"/>
      <c r="D23" s="161"/>
      <c r="E23" s="161"/>
    </row>
    <row r="24" spans="2:5" ht="15.75" customHeight="1">
      <c r="B24" s="15" t="s">
        <v>12</v>
      </c>
      <c r="C24" s="161"/>
      <c r="D24" s="161"/>
      <c r="E24" s="161"/>
    </row>
    <row r="25" spans="2:5" ht="15.75" customHeight="1">
      <c r="B25" s="15" t="s">
        <v>13</v>
      </c>
      <c r="C25" s="156"/>
      <c r="D25" s="156"/>
      <c r="E25" s="156"/>
    </row>
    <row r="26" spans="2:5" ht="15.75" customHeight="1">
      <c r="B26" s="15" t="s">
        <v>14</v>
      </c>
      <c r="C26" s="162">
        <f>(41.22/44)*40</f>
        <v>37.47272727272727</v>
      </c>
      <c r="D26" s="162"/>
      <c r="E26" s="162"/>
    </row>
    <row r="27" spans="2:6" ht="15.75" customHeight="1" thickBot="1">
      <c r="B27" s="16" t="s">
        <v>15</v>
      </c>
      <c r="C27" s="163">
        <f>SUM(C19:E26)</f>
        <v>1005.1181818181818</v>
      </c>
      <c r="D27" s="163"/>
      <c r="E27" s="163"/>
      <c r="F27" s="19"/>
    </row>
    <row r="28" spans="2:5" ht="15.75" customHeight="1" thickBot="1">
      <c r="B28" s="164"/>
      <c r="C28" s="164"/>
      <c r="D28" s="164"/>
      <c r="E28" s="164"/>
    </row>
    <row r="29" spans="2:5" ht="15.75" customHeight="1" thickBot="1">
      <c r="B29" s="155" t="s">
        <v>16</v>
      </c>
      <c r="C29" s="155"/>
      <c r="D29" s="155"/>
      <c r="E29" s="155"/>
    </row>
    <row r="30" spans="2:5" ht="15.75" customHeight="1" thickBot="1">
      <c r="B30" s="17" t="s">
        <v>17</v>
      </c>
      <c r="C30" s="159" t="s">
        <v>7</v>
      </c>
      <c r="D30" s="159"/>
      <c r="E30" s="159"/>
    </row>
    <row r="31" spans="2:5" ht="15.75" customHeight="1">
      <c r="B31" s="18" t="s">
        <v>18</v>
      </c>
      <c r="C31" s="160">
        <f>(3*2*C11)-(C19*0.06)</f>
        <v>68.02698701298702</v>
      </c>
      <c r="D31" s="160"/>
      <c r="E31" s="160"/>
    </row>
    <row r="32" spans="2:5" ht="15.75" customHeight="1">
      <c r="B32" s="14" t="s">
        <v>19</v>
      </c>
      <c r="C32" s="152">
        <f>(14*0.8*C11)</f>
        <v>235.36000000000004</v>
      </c>
      <c r="D32" s="152"/>
      <c r="E32" s="152"/>
    </row>
    <row r="33" spans="2:5" ht="15.75" customHeight="1">
      <c r="B33" s="14" t="s">
        <v>20</v>
      </c>
      <c r="C33" s="156">
        <v>0</v>
      </c>
      <c r="D33" s="156"/>
      <c r="E33" s="156"/>
    </row>
    <row r="34" spans="2:6" s="21" customFormat="1" ht="15" customHeight="1">
      <c r="B34" s="14" t="s">
        <v>21</v>
      </c>
      <c r="C34" s="156">
        <v>0</v>
      </c>
      <c r="D34" s="156"/>
      <c r="E34" s="156"/>
      <c r="F34" s="22"/>
    </row>
    <row r="35" spans="2:6" s="21" customFormat="1" ht="15" customHeight="1">
      <c r="B35" s="20" t="s">
        <v>22</v>
      </c>
      <c r="C35" s="156">
        <v>22.7</v>
      </c>
      <c r="D35" s="156"/>
      <c r="E35" s="156"/>
      <c r="F35" s="22"/>
    </row>
    <row r="36" spans="2:6" s="21" customFormat="1" ht="15" customHeight="1">
      <c r="B36" s="14" t="s">
        <v>23</v>
      </c>
      <c r="C36" s="156">
        <v>110</v>
      </c>
      <c r="D36" s="156"/>
      <c r="E36" s="156"/>
      <c r="F36" s="22"/>
    </row>
    <row r="37" spans="2:6" s="21" customFormat="1" ht="15" customHeight="1" thickBot="1">
      <c r="B37" s="16" t="s">
        <v>24</v>
      </c>
      <c r="C37" s="153">
        <f>SUM(C31:E36)</f>
        <v>436.08698701298704</v>
      </c>
      <c r="D37" s="153"/>
      <c r="E37" s="153"/>
      <c r="F37" s="22"/>
    </row>
    <row r="38" spans="2:6" s="21" customFormat="1" ht="18.75" customHeight="1" thickBot="1">
      <c r="B38" s="157"/>
      <c r="C38" s="157"/>
      <c r="D38" s="157"/>
      <c r="E38" s="157"/>
      <c r="F38" s="22"/>
    </row>
    <row r="39" spans="2:6" s="21" customFormat="1" ht="13.5" customHeight="1" thickBot="1">
      <c r="B39" s="155" t="s">
        <v>25</v>
      </c>
      <c r="C39" s="155"/>
      <c r="D39" s="155"/>
      <c r="E39" s="155"/>
      <c r="F39" s="22"/>
    </row>
    <row r="40" spans="2:6" s="21" customFormat="1" ht="13.5" customHeight="1" thickBot="1">
      <c r="B40" s="17" t="s">
        <v>26</v>
      </c>
      <c r="C40" s="158" t="s">
        <v>7</v>
      </c>
      <c r="D40" s="158"/>
      <c r="E40" s="158"/>
      <c r="F40" s="22"/>
    </row>
    <row r="41" spans="2:6" s="21" customFormat="1" ht="13.5" customHeight="1">
      <c r="B41" s="23" t="s">
        <v>27</v>
      </c>
      <c r="C41" s="151">
        <f>Uniformes!H12</f>
        <v>78.91</v>
      </c>
      <c r="D41" s="151"/>
      <c r="E41" s="151"/>
      <c r="F41" s="22"/>
    </row>
    <row r="42" spans="2:6" s="21" customFormat="1" ht="13.5" customHeight="1">
      <c r="B42" s="70" t="s">
        <v>129</v>
      </c>
      <c r="C42" s="152">
        <v>0</v>
      </c>
      <c r="D42" s="152"/>
      <c r="E42" s="152"/>
      <c r="F42" s="22"/>
    </row>
    <row r="43" spans="2:6" s="21" customFormat="1" ht="14.25" customHeight="1" thickBot="1">
      <c r="B43" s="24" t="s">
        <v>28</v>
      </c>
      <c r="C43" s="153">
        <f>SUM(C41:E42)</f>
        <v>78.91</v>
      </c>
      <c r="D43" s="153"/>
      <c r="E43" s="153"/>
      <c r="F43" s="22"/>
    </row>
    <row r="44" spans="2:6" s="21" customFormat="1" ht="14.25" customHeight="1" thickBot="1">
      <c r="B44" s="154"/>
      <c r="C44" s="154"/>
      <c r="D44" s="154"/>
      <c r="E44" s="154"/>
      <c r="F44" s="22"/>
    </row>
    <row r="45" spans="2:6" s="21" customFormat="1" ht="14.25" customHeight="1" thickBot="1">
      <c r="B45" s="155" t="s">
        <v>29</v>
      </c>
      <c r="C45" s="155"/>
      <c r="D45" s="155"/>
      <c r="E45" s="155"/>
      <c r="F45" s="22"/>
    </row>
    <row r="46" spans="2:6" s="21" customFormat="1" ht="14.25" customHeight="1" thickBot="1">
      <c r="B46" s="150" t="s">
        <v>30</v>
      </c>
      <c r="C46" s="150"/>
      <c r="D46" s="150"/>
      <c r="E46" s="150"/>
      <c r="F46" s="22"/>
    </row>
    <row r="47" spans="2:6" s="21" customFormat="1" ht="14.25" customHeight="1" thickBot="1">
      <c r="B47" s="25" t="s">
        <v>31</v>
      </c>
      <c r="C47" s="26" t="s">
        <v>32</v>
      </c>
      <c r="D47" s="145" t="s">
        <v>7</v>
      </c>
      <c r="E47" s="145"/>
      <c r="F47" s="22"/>
    </row>
    <row r="48" spans="2:6" s="21" customFormat="1" ht="14.25" customHeight="1">
      <c r="B48" s="27" t="s">
        <v>33</v>
      </c>
      <c r="C48" s="28">
        <v>20</v>
      </c>
      <c r="D48" s="142">
        <f aca="true" t="shared" si="0" ref="D48:D53">$C$27*(C48/100)</f>
        <v>201.02363636363637</v>
      </c>
      <c r="E48" s="142"/>
      <c r="F48" s="22"/>
    </row>
    <row r="49" spans="2:6" s="21" customFormat="1" ht="14.25" customHeight="1">
      <c r="B49" s="29" t="s">
        <v>34</v>
      </c>
      <c r="C49" s="30">
        <v>1.5</v>
      </c>
      <c r="D49" s="149">
        <f t="shared" si="0"/>
        <v>15.076772727272727</v>
      </c>
      <c r="E49" s="149"/>
      <c r="F49" s="22"/>
    </row>
    <row r="50" spans="2:6" s="21" customFormat="1" ht="14.25" customHeight="1">
      <c r="B50" s="29" t="s">
        <v>35</v>
      </c>
      <c r="C50" s="30">
        <v>1</v>
      </c>
      <c r="D50" s="149">
        <f t="shared" si="0"/>
        <v>10.051181818181819</v>
      </c>
      <c r="E50" s="149"/>
      <c r="F50" s="22"/>
    </row>
    <row r="51" spans="2:6" s="21" customFormat="1" ht="14.25" customHeight="1">
      <c r="B51" s="29" t="s">
        <v>36</v>
      </c>
      <c r="C51" s="30">
        <v>0.2</v>
      </c>
      <c r="D51" s="149">
        <f t="shared" si="0"/>
        <v>2.0102363636363636</v>
      </c>
      <c r="E51" s="149"/>
      <c r="F51" s="22"/>
    </row>
    <row r="52" spans="2:6" s="21" customFormat="1" ht="14.25" customHeight="1">
      <c r="B52" s="29" t="s">
        <v>37</v>
      </c>
      <c r="C52" s="30">
        <v>2.5</v>
      </c>
      <c r="D52" s="149">
        <f t="shared" si="0"/>
        <v>25.127954545454546</v>
      </c>
      <c r="E52" s="149"/>
      <c r="F52" s="22"/>
    </row>
    <row r="53" spans="2:6" s="21" customFormat="1" ht="14.25" customHeight="1">
      <c r="B53" s="31" t="s">
        <v>38</v>
      </c>
      <c r="C53" s="32">
        <v>8</v>
      </c>
      <c r="D53" s="139">
        <f t="shared" si="0"/>
        <v>80.40945454545455</v>
      </c>
      <c r="E53" s="139"/>
      <c r="F53" s="22"/>
    </row>
    <row r="54" spans="2:6" s="21" customFormat="1" ht="14.25" customHeight="1">
      <c r="B54" s="31" t="s">
        <v>39</v>
      </c>
      <c r="C54" s="71">
        <v>6</v>
      </c>
      <c r="D54" s="139">
        <f>$C$27*(C54/100)</f>
        <v>60.30709090909091</v>
      </c>
      <c r="E54" s="139"/>
      <c r="F54" s="22"/>
    </row>
    <row r="55" spans="2:6" s="21" customFormat="1" ht="14.25" customHeight="1">
      <c r="B55" s="29" t="s">
        <v>40</v>
      </c>
      <c r="C55" s="30">
        <v>0.6000000000000001</v>
      </c>
      <c r="D55" s="149">
        <f>$C$27*(C55/100)</f>
        <v>6.030709090909092</v>
      </c>
      <c r="E55" s="149"/>
      <c r="F55" s="22"/>
    </row>
    <row r="56" spans="2:6" s="21" customFormat="1" ht="14.25" customHeight="1" thickBot="1">
      <c r="B56" s="33" t="s">
        <v>41</v>
      </c>
      <c r="C56" s="34">
        <f>SUM(C48:C55)</f>
        <v>39.800000000000004</v>
      </c>
      <c r="D56" s="134">
        <f>SUM(D48:E55)</f>
        <v>400.0370363636364</v>
      </c>
      <c r="E56" s="134"/>
      <c r="F56" s="60"/>
    </row>
    <row r="57" spans="2:6" s="21" customFormat="1" ht="14.25" customHeight="1">
      <c r="B57" s="35" t="s">
        <v>42</v>
      </c>
      <c r="C57" s="36"/>
      <c r="D57" s="36"/>
      <c r="E57" s="36"/>
      <c r="F57" s="22"/>
    </row>
    <row r="58" spans="2:8" s="21" customFormat="1" ht="14.25" customHeight="1" thickBot="1">
      <c r="B58" s="37"/>
      <c r="C58" s="36"/>
      <c r="D58" s="36"/>
      <c r="E58" s="36"/>
      <c r="F58" s="22"/>
      <c r="H58" s="61"/>
    </row>
    <row r="59" spans="2:6" s="21" customFormat="1" ht="14.25" customHeight="1" thickBot="1">
      <c r="B59" s="144" t="s">
        <v>43</v>
      </c>
      <c r="C59" s="144"/>
      <c r="D59" s="144"/>
      <c r="E59" s="144"/>
      <c r="F59" s="22"/>
    </row>
    <row r="60" spans="2:6" s="21" customFormat="1" ht="14.25" customHeight="1" thickBot="1">
      <c r="B60" s="25" t="s">
        <v>44</v>
      </c>
      <c r="C60" s="146" t="s">
        <v>7</v>
      </c>
      <c r="D60" s="146"/>
      <c r="E60" s="146"/>
      <c r="F60" s="22"/>
    </row>
    <row r="61" spans="2:6" s="21" customFormat="1" ht="14.25" customHeight="1">
      <c r="B61" s="27" t="s">
        <v>45</v>
      </c>
      <c r="C61" s="142">
        <f>$C$27*0.0833</f>
        <v>83.72634454545455</v>
      </c>
      <c r="D61" s="142"/>
      <c r="E61" s="142"/>
      <c r="F61" s="22"/>
    </row>
    <row r="62" spans="2:6" s="21" customFormat="1" ht="14.25" customHeight="1">
      <c r="B62" s="31" t="s">
        <v>46</v>
      </c>
      <c r="C62" s="139">
        <f>$C$27*0.0278</f>
        <v>27.942285454545452</v>
      </c>
      <c r="D62" s="139"/>
      <c r="E62" s="139"/>
      <c r="F62" s="22"/>
    </row>
    <row r="63" spans="2:6" s="21" customFormat="1" ht="14.25" customHeight="1">
      <c r="B63" s="38" t="s">
        <v>47</v>
      </c>
      <c r="C63" s="148">
        <f>SUM(C61:E62)</f>
        <v>111.66863000000001</v>
      </c>
      <c r="D63" s="148"/>
      <c r="E63" s="148"/>
      <c r="F63" s="22"/>
    </row>
    <row r="64" spans="2:6" s="21" customFormat="1" ht="14.25" customHeight="1">
      <c r="B64" s="31" t="s">
        <v>48</v>
      </c>
      <c r="C64" s="139">
        <f>C63*(C56/100)</f>
        <v>44.44411474</v>
      </c>
      <c r="D64" s="139"/>
      <c r="E64" s="139"/>
      <c r="F64" s="22"/>
    </row>
    <row r="65" spans="2:6" s="21" customFormat="1" ht="14.25" customHeight="1" thickBot="1">
      <c r="B65" s="33" t="s">
        <v>41</v>
      </c>
      <c r="C65" s="134">
        <f>SUM(C63:E64)</f>
        <v>156.11274474</v>
      </c>
      <c r="D65" s="134"/>
      <c r="E65" s="134"/>
      <c r="F65" s="22"/>
    </row>
    <row r="66" spans="2:6" s="21" customFormat="1" ht="14.25" customHeight="1" thickBot="1">
      <c r="B66" s="37"/>
      <c r="C66" s="36"/>
      <c r="D66" s="36"/>
      <c r="E66" s="36"/>
      <c r="F66" s="39"/>
    </row>
    <row r="67" spans="2:6" s="21" customFormat="1" ht="14.25" customHeight="1" thickBot="1">
      <c r="B67" s="144" t="s">
        <v>49</v>
      </c>
      <c r="C67" s="144"/>
      <c r="D67" s="144"/>
      <c r="E67" s="144"/>
      <c r="F67" s="22"/>
    </row>
    <row r="68" spans="2:6" s="21" customFormat="1" ht="14.25" customHeight="1" thickBot="1">
      <c r="B68" s="25" t="s">
        <v>50</v>
      </c>
      <c r="C68" s="146" t="s">
        <v>7</v>
      </c>
      <c r="D68" s="146"/>
      <c r="E68" s="146"/>
      <c r="F68" s="22"/>
    </row>
    <row r="69" spans="2:6" s="21" customFormat="1" ht="14.25" customHeight="1">
      <c r="B69" s="27" t="s">
        <v>51</v>
      </c>
      <c r="C69" s="142">
        <f>(((C61)+(C62)+C35)*4*0.6181*0.0606)/12</f>
        <v>1.6776756541006</v>
      </c>
      <c r="D69" s="142"/>
      <c r="E69" s="142"/>
      <c r="F69" s="22"/>
    </row>
    <row r="70" spans="2:6" s="21" customFormat="1" ht="14.25" customHeight="1">
      <c r="B70" s="31" t="s">
        <v>52</v>
      </c>
      <c r="C70" s="139">
        <f>C69*(C56/100)</f>
        <v>0.6677149103320388</v>
      </c>
      <c r="D70" s="139"/>
      <c r="E70" s="139"/>
      <c r="F70" s="22"/>
    </row>
    <row r="71" spans="2:6" s="21" customFormat="1" ht="14.25" customHeight="1" thickBot="1">
      <c r="B71" s="33" t="s">
        <v>41</v>
      </c>
      <c r="C71" s="147">
        <f>SUM(C69:E70)</f>
        <v>2.3453905644326385</v>
      </c>
      <c r="D71" s="147"/>
      <c r="E71" s="147"/>
      <c r="F71" s="22"/>
    </row>
    <row r="72" spans="2:12" s="21" customFormat="1" ht="14.25" customHeight="1" thickBot="1">
      <c r="B72" s="37"/>
      <c r="C72" s="36"/>
      <c r="D72" s="36"/>
      <c r="E72" s="36"/>
      <c r="F72" s="22"/>
      <c r="L72"/>
    </row>
    <row r="73" spans="2:6" s="21" customFormat="1" ht="14.25" customHeight="1" thickBot="1">
      <c r="B73" s="144" t="s">
        <v>53</v>
      </c>
      <c r="C73" s="144"/>
      <c r="D73" s="144"/>
      <c r="E73" s="144"/>
      <c r="F73" s="22"/>
    </row>
    <row r="74" spans="2:6" s="21" customFormat="1" ht="14.25" customHeight="1" thickBot="1">
      <c r="B74" s="25" t="s">
        <v>54</v>
      </c>
      <c r="C74" s="146" t="s">
        <v>7</v>
      </c>
      <c r="D74" s="146"/>
      <c r="E74" s="146"/>
      <c r="F74" s="22"/>
    </row>
    <row r="75" spans="2:6" s="21" customFormat="1" ht="14.25" customHeight="1">
      <c r="B75" s="27" t="s">
        <v>55</v>
      </c>
      <c r="C75" s="142">
        <f>C27*(0.05*(1/12))</f>
        <v>4.187992424242424</v>
      </c>
      <c r="D75" s="142"/>
      <c r="E75" s="142"/>
      <c r="F75" s="22"/>
    </row>
    <row r="76" spans="2:6" s="21" customFormat="1" ht="14.25" customHeight="1">
      <c r="B76" s="31" t="s">
        <v>56</v>
      </c>
      <c r="C76" s="139">
        <f>C75*(C56/100)</f>
        <v>1.6668209848484847</v>
      </c>
      <c r="D76" s="139"/>
      <c r="E76" s="139"/>
      <c r="F76" s="39"/>
    </row>
    <row r="77" spans="2:6" s="21" customFormat="1" ht="14.25" customHeight="1">
      <c r="B77" s="31" t="s">
        <v>57</v>
      </c>
      <c r="C77" s="139">
        <f>$C$27*(0.08*0.5*0.05)</f>
        <v>2.0102363636363636</v>
      </c>
      <c r="D77" s="139"/>
      <c r="E77" s="139"/>
      <c r="F77" s="22"/>
    </row>
    <row r="78" spans="2:6" s="21" customFormat="1" ht="14.25" customHeight="1">
      <c r="B78" s="31" t="s">
        <v>58</v>
      </c>
      <c r="C78" s="139">
        <f>C27*0.01944</f>
        <v>19.539497454545458</v>
      </c>
      <c r="D78" s="139"/>
      <c r="E78" s="139"/>
      <c r="F78" s="22"/>
    </row>
    <row r="79" spans="2:6" s="21" customFormat="1" ht="14.25" customHeight="1">
      <c r="B79" s="31" t="s">
        <v>59</v>
      </c>
      <c r="C79" s="139">
        <f>C78*(C56/100)</f>
        <v>7.776719986909093</v>
      </c>
      <c r="D79" s="139"/>
      <c r="E79" s="139"/>
      <c r="F79" s="22"/>
    </row>
    <row r="80" spans="2:6" s="40" customFormat="1" ht="15" customHeight="1">
      <c r="B80" s="31" t="s">
        <v>60</v>
      </c>
      <c r="C80" s="139">
        <f>$C$27*(0.08*0.5)</f>
        <v>40.204727272727276</v>
      </c>
      <c r="D80" s="139"/>
      <c r="E80" s="139"/>
      <c r="F80" s="42"/>
    </row>
    <row r="81" spans="2:6" s="21" customFormat="1" ht="15" customHeight="1" thickBot="1">
      <c r="B81" s="33" t="s">
        <v>41</v>
      </c>
      <c r="C81" s="134">
        <f>SUM(C75:E80)</f>
        <v>75.3859944869091</v>
      </c>
      <c r="D81" s="134"/>
      <c r="E81" s="134"/>
      <c r="F81" s="22"/>
    </row>
    <row r="82" spans="2:6" s="21" customFormat="1" ht="15" customHeight="1" thickBot="1">
      <c r="B82" s="37"/>
      <c r="C82" s="36"/>
      <c r="D82" s="36"/>
      <c r="E82" s="36"/>
      <c r="F82" s="22"/>
    </row>
    <row r="83" spans="2:6" s="21" customFormat="1" ht="15" customHeight="1" thickBot="1">
      <c r="B83" s="144" t="s">
        <v>61</v>
      </c>
      <c r="C83" s="144"/>
      <c r="D83" s="144"/>
      <c r="E83" s="144"/>
      <c r="F83" s="22"/>
    </row>
    <row r="84" spans="2:5" s="21" customFormat="1" ht="15" customHeight="1" thickBot="1">
      <c r="B84" s="25" t="s">
        <v>62</v>
      </c>
      <c r="C84" s="145" t="s">
        <v>7</v>
      </c>
      <c r="D84" s="145"/>
      <c r="E84" s="145"/>
    </row>
    <row r="85" spans="2:5" s="21" customFormat="1" ht="15" customHeight="1">
      <c r="B85" s="41" t="s">
        <v>63</v>
      </c>
      <c r="C85" s="142">
        <f>C27*0.0833</f>
        <v>83.72634454545455</v>
      </c>
      <c r="D85" s="142"/>
      <c r="E85" s="142"/>
    </row>
    <row r="86" spans="1:5" s="21" customFormat="1" ht="15" customHeight="1">
      <c r="A86" s="44"/>
      <c r="B86" s="31" t="s">
        <v>64</v>
      </c>
      <c r="C86" s="139">
        <f>C27*0.0166</f>
        <v>16.68496181818182</v>
      </c>
      <c r="D86" s="139"/>
      <c r="E86" s="139"/>
    </row>
    <row r="87" spans="1:5" s="21" customFormat="1" ht="15" customHeight="1">
      <c r="A87" s="44"/>
      <c r="B87" s="31" t="s">
        <v>65</v>
      </c>
      <c r="C87" s="139">
        <f>C27*0.0002</f>
        <v>0.20102363636363638</v>
      </c>
      <c r="D87" s="139"/>
      <c r="E87" s="139"/>
    </row>
    <row r="88" spans="2:5" s="40" customFormat="1" ht="15" customHeight="1">
      <c r="B88" s="31" t="s">
        <v>66</v>
      </c>
      <c r="C88" s="139">
        <f>C27*((2.96/30)/12)</f>
        <v>8.264305050505051</v>
      </c>
      <c r="D88" s="139"/>
      <c r="E88" s="139"/>
    </row>
    <row r="89" spans="2:5" s="40" customFormat="1" ht="15" customHeight="1">
      <c r="B89" s="31" t="s">
        <v>67</v>
      </c>
      <c r="C89" s="139">
        <f>C27*0.0003</f>
        <v>0.3015354545454545</v>
      </c>
      <c r="D89" s="139"/>
      <c r="E89" s="139"/>
    </row>
    <row r="90" spans="2:5" s="40" customFormat="1" ht="15" customHeight="1">
      <c r="B90" s="43" t="s">
        <v>68</v>
      </c>
      <c r="C90" s="139">
        <v>0</v>
      </c>
      <c r="D90" s="139"/>
      <c r="E90" s="139"/>
    </row>
    <row r="91" spans="2:5" s="40" customFormat="1" ht="15" customHeight="1">
      <c r="B91" s="31" t="s">
        <v>69</v>
      </c>
      <c r="C91" s="139">
        <f>SUM(C85:E90)*(C56/100)</f>
        <v>43.45291186101011</v>
      </c>
      <c r="D91" s="139"/>
      <c r="E91" s="139"/>
    </row>
    <row r="92" spans="2:5" s="40" customFormat="1" ht="15" customHeight="1" thickBot="1">
      <c r="B92" s="33" t="s">
        <v>41</v>
      </c>
      <c r="C92" s="134">
        <f>SUM(C85:E91)</f>
        <v>152.63108236606064</v>
      </c>
      <c r="D92" s="134"/>
      <c r="E92" s="134"/>
    </row>
    <row r="93" s="40" customFormat="1" ht="15" customHeight="1" thickBot="1">
      <c r="B93" s="45"/>
    </row>
    <row r="94" spans="2:5" s="40" customFormat="1" ht="15" customHeight="1" thickBot="1">
      <c r="B94" s="143" t="s">
        <v>70</v>
      </c>
      <c r="C94" s="143"/>
      <c r="D94" s="143"/>
      <c r="E94" s="143"/>
    </row>
    <row r="95" spans="2:5" s="40" customFormat="1" ht="15" customHeight="1" thickBot="1">
      <c r="B95" s="46" t="s">
        <v>71</v>
      </c>
      <c r="C95" s="141" t="s">
        <v>7</v>
      </c>
      <c r="D95" s="141"/>
      <c r="E95" s="141"/>
    </row>
    <row r="96" spans="2:5" s="40" customFormat="1" ht="15" customHeight="1">
      <c r="B96" s="41" t="s">
        <v>72</v>
      </c>
      <c r="C96" s="142">
        <f>D56</f>
        <v>400.0370363636364</v>
      </c>
      <c r="D96" s="142"/>
      <c r="E96" s="142"/>
    </row>
    <row r="97" spans="2:6" s="40" customFormat="1" ht="15" customHeight="1">
      <c r="B97" s="47" t="s">
        <v>73</v>
      </c>
      <c r="C97" s="139">
        <f>C65</f>
        <v>156.11274474</v>
      </c>
      <c r="D97" s="139"/>
      <c r="E97" s="139"/>
      <c r="F97" s="49"/>
    </row>
    <row r="98" spans="2:5" s="40" customFormat="1" ht="15" customHeight="1">
      <c r="B98" s="47" t="s">
        <v>74</v>
      </c>
      <c r="C98" s="139">
        <f>C71</f>
        <v>2.3453905644326385</v>
      </c>
      <c r="D98" s="139"/>
      <c r="E98" s="139"/>
    </row>
    <row r="99" spans="2:5" s="40" customFormat="1" ht="15" customHeight="1">
      <c r="B99" s="47" t="s">
        <v>75</v>
      </c>
      <c r="C99" s="139">
        <f>C81</f>
        <v>75.3859944869091</v>
      </c>
      <c r="D99" s="139"/>
      <c r="E99" s="139"/>
    </row>
    <row r="100" spans="2:5" s="40" customFormat="1" ht="15" customHeight="1">
      <c r="B100" s="47" t="s">
        <v>76</v>
      </c>
      <c r="C100" s="139">
        <f>C92</f>
        <v>152.63108236606064</v>
      </c>
      <c r="D100" s="139"/>
      <c r="E100" s="139"/>
    </row>
    <row r="101" spans="2:10" s="40" customFormat="1" ht="15" customHeight="1">
      <c r="B101" s="47" t="s">
        <v>77</v>
      </c>
      <c r="C101" s="139"/>
      <c r="D101" s="139"/>
      <c r="E101" s="139"/>
      <c r="J101" s="72"/>
    </row>
    <row r="102" spans="2:10" s="40" customFormat="1" ht="15" customHeight="1" thickBot="1">
      <c r="B102" s="48" t="s">
        <v>41</v>
      </c>
      <c r="C102" s="134">
        <f>SUM(C96:E101)</f>
        <v>786.5122485210388</v>
      </c>
      <c r="D102" s="134"/>
      <c r="E102" s="134"/>
      <c r="J102" s="61"/>
    </row>
    <row r="103" spans="2:10" s="40" customFormat="1" ht="15" customHeight="1" thickBot="1">
      <c r="B103" s="45"/>
      <c r="J103" s="61"/>
    </row>
    <row r="104" spans="2:5" s="40" customFormat="1" ht="15" customHeight="1" thickBot="1">
      <c r="B104" s="140" t="s">
        <v>78</v>
      </c>
      <c r="C104" s="140"/>
      <c r="D104" s="140"/>
      <c r="E104" s="140"/>
    </row>
    <row r="105" spans="2:5" s="40" customFormat="1" ht="15" customHeight="1" thickBot="1">
      <c r="B105" s="46" t="s">
        <v>79</v>
      </c>
      <c r="C105" s="50" t="s">
        <v>32</v>
      </c>
      <c r="D105" s="141" t="s">
        <v>7</v>
      </c>
      <c r="E105" s="141"/>
    </row>
    <row r="106" spans="2:5" s="40" customFormat="1" ht="15" customHeight="1">
      <c r="B106" s="81" t="s">
        <v>80</v>
      </c>
      <c r="C106" s="82">
        <f>'Custos Indiretos e Lucro'!E3</f>
        <v>0.06</v>
      </c>
      <c r="D106" s="142">
        <f>(C102+C43+C37+C27)*C106</f>
        <v>138.39764504113245</v>
      </c>
      <c r="E106" s="142"/>
    </row>
    <row r="107" spans="2:5" s="40" customFormat="1" ht="15" customHeight="1">
      <c r="B107" s="79" t="s">
        <v>81</v>
      </c>
      <c r="C107" s="83"/>
      <c r="D107" s="139"/>
      <c r="E107" s="139"/>
    </row>
    <row r="108" spans="2:5" s="40" customFormat="1" ht="15" customHeight="1">
      <c r="B108" s="79" t="s">
        <v>82</v>
      </c>
      <c r="C108" s="84">
        <f>7.6+1.65</f>
        <v>9.25</v>
      </c>
      <c r="D108" s="139">
        <f>((C102+C43+C37+C27+D106+D112)/(1-(C108+C110)/100))*(C108/100)</f>
        <v>271.13856723423214</v>
      </c>
      <c r="E108" s="139"/>
    </row>
    <row r="109" spans="2:5" s="40" customFormat="1" ht="15" customHeight="1">
      <c r="B109" s="79" t="s">
        <v>83</v>
      </c>
      <c r="C109" s="83"/>
      <c r="D109" s="139"/>
      <c r="E109" s="139"/>
    </row>
    <row r="110" spans="2:5" s="40" customFormat="1" ht="15" customHeight="1">
      <c r="B110" s="79" t="s">
        <v>151</v>
      </c>
      <c r="C110" s="84">
        <v>3.5</v>
      </c>
      <c r="D110" s="139">
        <f>((C102+C43+C37+C27+D106+D112)/(1-(C108+C110)/100))*(C110/100)</f>
        <v>102.5929713859257</v>
      </c>
      <c r="E110" s="139"/>
    </row>
    <row r="111" spans="2:5" s="40" customFormat="1" ht="15" customHeight="1">
      <c r="B111" s="79" t="s">
        <v>84</v>
      </c>
      <c r="C111" s="83"/>
      <c r="D111" s="139"/>
      <c r="E111" s="139"/>
    </row>
    <row r="112" spans="2:5" s="40" customFormat="1" ht="15" customHeight="1">
      <c r="B112" s="79" t="s">
        <v>85</v>
      </c>
      <c r="C112" s="80">
        <f>'Custos Indiretos e Lucro'!E4</f>
        <v>0.046000000000000006</v>
      </c>
      <c r="D112" s="139">
        <f>(C102+C43+C37+C27+D106)*C112</f>
        <v>112.47115287009365</v>
      </c>
      <c r="E112" s="139"/>
    </row>
    <row r="113" spans="2:5" s="40" customFormat="1" ht="15" customHeight="1" thickBot="1">
      <c r="B113" s="48" t="s">
        <v>41</v>
      </c>
      <c r="C113" s="51">
        <f>SUM(C106:C112)</f>
        <v>12.856</v>
      </c>
      <c r="D113" s="134">
        <f>SUM(D106:E112)</f>
        <v>624.600336531384</v>
      </c>
      <c r="E113" s="134"/>
    </row>
    <row r="114" s="40" customFormat="1" ht="15" customHeight="1">
      <c r="B114" s="45"/>
    </row>
    <row r="115" spans="2:5" s="40" customFormat="1" ht="15" customHeight="1">
      <c r="B115" s="135" t="s">
        <v>86</v>
      </c>
      <c r="C115" s="135"/>
      <c r="D115" s="135"/>
      <c r="E115" s="135"/>
    </row>
    <row r="116" spans="2:5" s="40" customFormat="1" ht="15" customHeight="1">
      <c r="B116" s="136" t="s">
        <v>87</v>
      </c>
      <c r="C116" s="136"/>
      <c r="D116" s="136"/>
      <c r="E116" s="136"/>
    </row>
    <row r="117" s="40" customFormat="1" ht="15" customHeight="1" thickBot="1">
      <c r="B117" s="45"/>
    </row>
    <row r="118" spans="2:5" s="40" customFormat="1" ht="15" customHeight="1" thickBot="1">
      <c r="B118" s="69" t="s">
        <v>88</v>
      </c>
      <c r="C118" s="137" t="s">
        <v>7</v>
      </c>
      <c r="D118" s="137"/>
      <c r="E118" s="137"/>
    </row>
    <row r="119" spans="2:5" s="40" customFormat="1" ht="15" customHeight="1">
      <c r="B119" s="41" t="s">
        <v>89</v>
      </c>
      <c r="C119" s="138">
        <f>C27</f>
        <v>1005.1181818181818</v>
      </c>
      <c r="D119" s="138"/>
      <c r="E119" s="138"/>
    </row>
    <row r="120" spans="2:5" s="40" customFormat="1" ht="15" customHeight="1">
      <c r="B120" s="47" t="s">
        <v>90</v>
      </c>
      <c r="C120" s="130">
        <f>C37</f>
        <v>436.08698701298704</v>
      </c>
      <c r="D120" s="130"/>
      <c r="E120" s="130"/>
    </row>
    <row r="121" spans="2:5" s="40" customFormat="1" ht="15" customHeight="1">
      <c r="B121" s="47" t="s">
        <v>91</v>
      </c>
      <c r="C121" s="130">
        <f>C43</f>
        <v>78.91</v>
      </c>
      <c r="D121" s="130"/>
      <c r="E121" s="130"/>
    </row>
    <row r="122" spans="2:5" s="40" customFormat="1" ht="15" customHeight="1">
      <c r="B122" s="47" t="s">
        <v>92</v>
      </c>
      <c r="C122" s="130">
        <f>C102</f>
        <v>786.5122485210388</v>
      </c>
      <c r="D122" s="130"/>
      <c r="E122" s="130"/>
    </row>
    <row r="123" spans="2:5" s="40" customFormat="1" ht="15" customHeight="1">
      <c r="B123" s="52" t="s">
        <v>93</v>
      </c>
      <c r="C123" s="131">
        <f>SUM(C119:E122)</f>
        <v>2306.627417352208</v>
      </c>
      <c r="D123" s="131"/>
      <c r="E123" s="131"/>
    </row>
    <row r="124" spans="2:5" s="40" customFormat="1" ht="15" customHeight="1">
      <c r="B124" s="47" t="s">
        <v>94</v>
      </c>
      <c r="C124" s="130">
        <f>D113</f>
        <v>624.600336531384</v>
      </c>
      <c r="D124" s="130"/>
      <c r="E124" s="130"/>
    </row>
    <row r="125" spans="2:5" ht="13.5" thickBot="1">
      <c r="B125" s="48" t="s">
        <v>95</v>
      </c>
      <c r="C125" s="132">
        <f>SUM(C123:E124)</f>
        <v>2931.227753883592</v>
      </c>
      <c r="D125" s="132"/>
      <c r="E125" s="132"/>
    </row>
    <row r="126" spans="2:5" ht="13.5" thickBot="1">
      <c r="B126" s="53" t="s">
        <v>96</v>
      </c>
      <c r="C126" s="133">
        <f>C125/C27</f>
        <v>2.9163015920985784</v>
      </c>
      <c r="D126" s="133"/>
      <c r="E126" s="133"/>
    </row>
    <row r="127" spans="2:5" ht="15.75">
      <c r="B127" s="45"/>
      <c r="C127" s="40"/>
      <c r="D127" s="40"/>
      <c r="E127" s="40"/>
    </row>
  </sheetData>
  <sheetProtection selectLockedCells="1" selectUnlockedCells="1"/>
  <mergeCells count="113">
    <mergeCell ref="B1:E1"/>
    <mergeCell ref="C3:E3"/>
    <mergeCell ref="C5:E5"/>
    <mergeCell ref="C6:E6"/>
    <mergeCell ref="C7:E7"/>
    <mergeCell ref="C8:E8"/>
    <mergeCell ref="B9:E9"/>
    <mergeCell ref="C10:E10"/>
    <mergeCell ref="C11:E11"/>
    <mergeCell ref="C12:E12"/>
    <mergeCell ref="C13:E13"/>
    <mergeCell ref="C14:E14"/>
    <mergeCell ref="B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B28:E28"/>
    <mergeCell ref="C40:E40"/>
    <mergeCell ref="B29:E29"/>
    <mergeCell ref="C30:E30"/>
    <mergeCell ref="C31:E31"/>
    <mergeCell ref="C32:E32"/>
    <mergeCell ref="C33:E33"/>
    <mergeCell ref="C34:E34"/>
    <mergeCell ref="C41:E41"/>
    <mergeCell ref="C42:E42"/>
    <mergeCell ref="C43:E43"/>
    <mergeCell ref="B44:E44"/>
    <mergeCell ref="B45:E45"/>
    <mergeCell ref="C35:E35"/>
    <mergeCell ref="C36:E36"/>
    <mergeCell ref="C37:E37"/>
    <mergeCell ref="B38:E38"/>
    <mergeCell ref="B39:E39"/>
    <mergeCell ref="B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B59:E59"/>
    <mergeCell ref="C60:E60"/>
    <mergeCell ref="C61:E61"/>
    <mergeCell ref="C62:E62"/>
    <mergeCell ref="C63:E63"/>
    <mergeCell ref="C64:E64"/>
    <mergeCell ref="C65:E65"/>
    <mergeCell ref="B67:E67"/>
    <mergeCell ref="C68:E68"/>
    <mergeCell ref="C69:E69"/>
    <mergeCell ref="C70:E70"/>
    <mergeCell ref="C71:E71"/>
    <mergeCell ref="B73:E73"/>
    <mergeCell ref="C74:E74"/>
    <mergeCell ref="C75:E75"/>
    <mergeCell ref="C76:E76"/>
    <mergeCell ref="C77:E77"/>
    <mergeCell ref="C78:E78"/>
    <mergeCell ref="C79:E79"/>
    <mergeCell ref="C80:E80"/>
    <mergeCell ref="C81:E81"/>
    <mergeCell ref="B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B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B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B115:E115"/>
    <mergeCell ref="B116:E116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72" r:id="rId3"/>
  <headerFooter alignWithMargins="0">
    <oddHeader>&amp;C&amp;"Times New Roman,Normal"&amp;12&amp;A</oddHeader>
    <oddFooter>&amp;C&amp;"Times New Roman,Normal"&amp;12Página &amp;P</oddFooter>
  </headerFooter>
  <colBreaks count="1" manualBreakCount="1">
    <brk id="5" max="65535" man="1"/>
  </colBreaks>
  <ignoredErrors>
    <ignoredError sqref="C6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SheetLayoutView="100" zoomScalePageLayoutView="0" workbookViewId="0" topLeftCell="A104">
      <selection activeCell="C19" sqref="C19:E19"/>
    </sheetView>
  </sheetViews>
  <sheetFormatPr defaultColWidth="11.421875" defaultRowHeight="12.75"/>
  <cols>
    <col min="1" max="1" width="3.421875" style="1" customWidth="1"/>
    <col min="2" max="2" width="65.7109375" style="1" customWidth="1"/>
    <col min="3" max="3" width="15.57421875" style="1" customWidth="1"/>
    <col min="4" max="4" width="15.7109375" style="1" customWidth="1"/>
    <col min="5" max="5" width="22.8515625" style="1" customWidth="1"/>
    <col min="6" max="6" width="20.57421875" style="2" customWidth="1"/>
    <col min="7" max="8" width="11.421875" style="1" customWidth="1"/>
    <col min="9" max="9" width="16.8515625" style="1" bestFit="1" customWidth="1"/>
    <col min="10" max="10" width="28.00390625" style="1" customWidth="1"/>
    <col min="11" max="11" width="16.57421875" style="1" bestFit="1" customWidth="1"/>
    <col min="12" max="16384" width="11.421875" style="1" customWidth="1"/>
  </cols>
  <sheetData>
    <row r="1" spans="2:5" ht="39" customHeight="1">
      <c r="B1" s="173" t="s">
        <v>159</v>
      </c>
      <c r="C1" s="173"/>
      <c r="D1" s="173"/>
      <c r="E1" s="173"/>
    </row>
    <row r="2" spans="2:5" ht="17.25" customHeight="1" thickBot="1">
      <c r="B2" s="3"/>
      <c r="C2" s="4"/>
      <c r="D2" s="4"/>
      <c r="E2" s="4"/>
    </row>
    <row r="3" spans="2:5" ht="17.25" customHeight="1" thickBot="1">
      <c r="B3" s="68" t="s">
        <v>0</v>
      </c>
      <c r="C3" s="174" t="s">
        <v>131</v>
      </c>
      <c r="D3" s="174"/>
      <c r="E3" s="174"/>
    </row>
    <row r="4" spans="2:5" ht="17.25" customHeight="1" thickBot="1">
      <c r="B4" s="3"/>
      <c r="C4" s="4"/>
      <c r="D4" s="4"/>
      <c r="E4" s="4"/>
    </row>
    <row r="5" spans="2:5" ht="17.25" customHeight="1">
      <c r="B5" s="85" t="s">
        <v>114</v>
      </c>
      <c r="C5" s="175" t="s">
        <v>118</v>
      </c>
      <c r="D5" s="176"/>
      <c r="E5" s="177"/>
    </row>
    <row r="6" spans="2:5" ht="15.75" customHeight="1">
      <c r="B6" s="86" t="s">
        <v>115</v>
      </c>
      <c r="C6" s="178" t="s">
        <v>152</v>
      </c>
      <c r="D6" s="179"/>
      <c r="E6" s="180"/>
    </row>
    <row r="7" spans="2:5" ht="15.75" customHeight="1">
      <c r="B7" s="86" t="s">
        <v>116</v>
      </c>
      <c r="C7" s="178" t="s">
        <v>126</v>
      </c>
      <c r="D7" s="179"/>
      <c r="E7" s="180"/>
    </row>
    <row r="8" spans="2:5" ht="15.75" customHeight="1" thickBot="1">
      <c r="B8" s="87" t="s">
        <v>117</v>
      </c>
      <c r="C8" s="181">
        <v>12</v>
      </c>
      <c r="D8" s="182"/>
      <c r="E8" s="183"/>
    </row>
    <row r="9" spans="2:5" ht="16.5" customHeight="1" thickBot="1">
      <c r="B9" s="167"/>
      <c r="C9" s="167"/>
      <c r="D9" s="167"/>
      <c r="E9" s="167"/>
    </row>
    <row r="10" spans="2:5" ht="15.75" customHeight="1">
      <c r="B10" s="5" t="s">
        <v>1</v>
      </c>
      <c r="C10" s="168" t="s">
        <v>132</v>
      </c>
      <c r="D10" s="168"/>
      <c r="E10" s="168"/>
    </row>
    <row r="11" spans="2:5" ht="15.75" customHeight="1">
      <c r="B11" s="6" t="s">
        <v>2</v>
      </c>
      <c r="C11" s="169">
        <f>30.42*(5/7)-(12*(5/7))/12</f>
        <v>21.014285714285716</v>
      </c>
      <c r="D11" s="169"/>
      <c r="E11" s="169"/>
    </row>
    <row r="12" spans="2:5" ht="12" customHeight="1">
      <c r="B12" s="7" t="s">
        <v>133</v>
      </c>
      <c r="C12" s="170">
        <v>1064.41</v>
      </c>
      <c r="D12" s="170"/>
      <c r="E12" s="170"/>
    </row>
    <row r="13" spans="2:5" ht="23.25" customHeight="1">
      <c r="B13" s="7" t="s">
        <v>3</v>
      </c>
      <c r="C13" s="171" t="s">
        <v>134</v>
      </c>
      <c r="D13" s="171"/>
      <c r="E13" s="171"/>
    </row>
    <row r="14" spans="2:5" ht="15.75" customHeight="1" thickBot="1">
      <c r="B14" s="8" t="s">
        <v>4</v>
      </c>
      <c r="C14" s="172">
        <v>42736</v>
      </c>
      <c r="D14" s="172"/>
      <c r="E14" s="172"/>
    </row>
    <row r="15" spans="2:5" ht="15" customHeight="1" thickBot="1">
      <c r="B15" s="9"/>
      <c r="C15" s="10"/>
      <c r="D15" s="11"/>
      <c r="E15" s="11"/>
    </row>
    <row r="16" spans="3:5" ht="15.75" customHeight="1" hidden="1" thickBot="1">
      <c r="C16" s="12"/>
      <c r="D16" s="12"/>
      <c r="E16" s="12"/>
    </row>
    <row r="17" spans="2:5" ht="15.75" customHeight="1">
      <c r="B17" s="165" t="s">
        <v>5</v>
      </c>
      <c r="C17" s="165"/>
      <c r="D17" s="165"/>
      <c r="E17" s="165"/>
    </row>
    <row r="18" spans="2:5" ht="15.75" customHeight="1">
      <c r="B18" s="13" t="s">
        <v>6</v>
      </c>
      <c r="C18" s="166" t="s">
        <v>7</v>
      </c>
      <c r="D18" s="166"/>
      <c r="E18" s="166"/>
    </row>
    <row r="19" spans="2:5" ht="15.75" customHeight="1">
      <c r="B19" s="14" t="s">
        <v>8</v>
      </c>
      <c r="C19" s="152">
        <f>(C12/44)*40</f>
        <v>967.6454545454545</v>
      </c>
      <c r="D19" s="152"/>
      <c r="E19" s="152"/>
    </row>
    <row r="20" spans="2:5" ht="15.75" customHeight="1">
      <c r="B20" s="14" t="s">
        <v>9</v>
      </c>
      <c r="C20" s="156"/>
      <c r="D20" s="156"/>
      <c r="E20" s="156"/>
    </row>
    <row r="21" spans="2:5" ht="15.75" customHeight="1">
      <c r="B21" s="14" t="s">
        <v>10</v>
      </c>
      <c r="C21" s="156"/>
      <c r="D21" s="156"/>
      <c r="E21" s="156"/>
    </row>
    <row r="22" spans="2:5" ht="15.75" customHeight="1">
      <c r="B22" s="15" t="s">
        <v>107</v>
      </c>
      <c r="C22" s="162"/>
      <c r="D22" s="162"/>
      <c r="E22" s="162"/>
    </row>
    <row r="23" spans="2:5" ht="15.75" customHeight="1">
      <c r="B23" s="15" t="s">
        <v>11</v>
      </c>
      <c r="C23" s="161"/>
      <c r="D23" s="161"/>
      <c r="E23" s="161"/>
    </row>
    <row r="24" spans="2:5" ht="15.75" customHeight="1">
      <c r="B24" s="15" t="s">
        <v>12</v>
      </c>
      <c r="C24" s="161"/>
      <c r="D24" s="161"/>
      <c r="E24" s="161"/>
    </row>
    <row r="25" spans="2:5" ht="15.75" customHeight="1">
      <c r="B25" s="15" t="s">
        <v>13</v>
      </c>
      <c r="C25" s="156"/>
      <c r="D25" s="156"/>
      <c r="E25" s="156"/>
    </row>
    <row r="26" spans="2:5" ht="15.75" customHeight="1">
      <c r="B26" s="15" t="s">
        <v>14</v>
      </c>
      <c r="C26" s="162">
        <f>(41.22/44)*40</f>
        <v>37.47272727272727</v>
      </c>
      <c r="D26" s="162"/>
      <c r="E26" s="162"/>
    </row>
    <row r="27" spans="2:6" ht="15.75" customHeight="1" thickBot="1">
      <c r="B27" s="16" t="s">
        <v>15</v>
      </c>
      <c r="C27" s="163">
        <f>SUM(C19:E26)</f>
        <v>1005.1181818181818</v>
      </c>
      <c r="D27" s="163"/>
      <c r="E27" s="163"/>
      <c r="F27" s="19"/>
    </row>
    <row r="28" spans="2:5" ht="15.75" customHeight="1" thickBot="1">
      <c r="B28" s="164"/>
      <c r="C28" s="164"/>
      <c r="D28" s="164"/>
      <c r="E28" s="164"/>
    </row>
    <row r="29" spans="2:5" ht="15.75" customHeight="1" thickBot="1">
      <c r="B29" s="155" t="s">
        <v>16</v>
      </c>
      <c r="C29" s="155"/>
      <c r="D29" s="155"/>
      <c r="E29" s="155"/>
    </row>
    <row r="30" spans="2:5" ht="15.75" customHeight="1" thickBot="1">
      <c r="B30" s="17" t="s">
        <v>17</v>
      </c>
      <c r="C30" s="159" t="s">
        <v>7</v>
      </c>
      <c r="D30" s="159"/>
      <c r="E30" s="159"/>
    </row>
    <row r="31" spans="2:5" ht="15.75" customHeight="1">
      <c r="B31" s="18" t="s">
        <v>18</v>
      </c>
      <c r="C31" s="160">
        <f>'Transp Altern'!H4/12+50</f>
        <v>91.02027777777778</v>
      </c>
      <c r="D31" s="160"/>
      <c r="E31" s="160"/>
    </row>
    <row r="32" spans="2:5" ht="15.75" customHeight="1">
      <c r="B32" s="14" t="s">
        <v>19</v>
      </c>
      <c r="C32" s="152">
        <f>(14*0.8*C11)</f>
        <v>235.36000000000004</v>
      </c>
      <c r="D32" s="152"/>
      <c r="E32" s="152"/>
    </row>
    <row r="33" spans="2:5" ht="15.75" customHeight="1">
      <c r="B33" s="14" t="s">
        <v>20</v>
      </c>
      <c r="C33" s="156">
        <v>0</v>
      </c>
      <c r="D33" s="156"/>
      <c r="E33" s="156"/>
    </row>
    <row r="34" spans="2:6" s="21" customFormat="1" ht="15" customHeight="1">
      <c r="B34" s="14" t="s">
        <v>21</v>
      </c>
      <c r="C34" s="156">
        <v>0</v>
      </c>
      <c r="D34" s="156"/>
      <c r="E34" s="156"/>
      <c r="F34" s="22"/>
    </row>
    <row r="35" spans="2:6" s="21" customFormat="1" ht="15" customHeight="1">
      <c r="B35" s="20" t="s">
        <v>22</v>
      </c>
      <c r="C35" s="156">
        <v>22.7</v>
      </c>
      <c r="D35" s="156"/>
      <c r="E35" s="156"/>
      <c r="F35" s="22"/>
    </row>
    <row r="36" spans="2:6" s="21" customFormat="1" ht="15" customHeight="1">
      <c r="B36" s="14" t="s">
        <v>23</v>
      </c>
      <c r="C36" s="156">
        <v>110</v>
      </c>
      <c r="D36" s="156"/>
      <c r="E36" s="156"/>
      <c r="F36" s="22"/>
    </row>
    <row r="37" spans="2:6" s="21" customFormat="1" ht="15" customHeight="1" thickBot="1">
      <c r="B37" s="16" t="s">
        <v>24</v>
      </c>
      <c r="C37" s="153">
        <f>SUM(C31:E36)</f>
        <v>459.0802777777778</v>
      </c>
      <c r="D37" s="153"/>
      <c r="E37" s="153"/>
      <c r="F37" s="22"/>
    </row>
    <row r="38" spans="2:6" s="21" customFormat="1" ht="18.75" customHeight="1" thickBot="1">
      <c r="B38" s="157"/>
      <c r="C38" s="157"/>
      <c r="D38" s="157"/>
      <c r="E38" s="157"/>
      <c r="F38" s="22"/>
    </row>
    <row r="39" spans="2:6" s="21" customFormat="1" ht="13.5" customHeight="1" thickBot="1">
      <c r="B39" s="155" t="s">
        <v>25</v>
      </c>
      <c r="C39" s="155"/>
      <c r="D39" s="155"/>
      <c r="E39" s="155"/>
      <c r="F39" s="22"/>
    </row>
    <row r="40" spans="2:6" s="21" customFormat="1" ht="13.5" customHeight="1" thickBot="1">
      <c r="B40" s="17" t="s">
        <v>26</v>
      </c>
      <c r="C40" s="158" t="s">
        <v>7</v>
      </c>
      <c r="D40" s="158"/>
      <c r="E40" s="158"/>
      <c r="F40" s="22"/>
    </row>
    <row r="41" spans="2:6" s="21" customFormat="1" ht="13.5" customHeight="1">
      <c r="B41" s="23" t="s">
        <v>27</v>
      </c>
      <c r="C41" s="151">
        <f>Uniformes!H12</f>
        <v>78.91</v>
      </c>
      <c r="D41" s="151"/>
      <c r="E41" s="151"/>
      <c r="F41" s="22"/>
    </row>
    <row r="42" spans="2:6" s="21" customFormat="1" ht="13.5" customHeight="1">
      <c r="B42" s="70" t="s">
        <v>129</v>
      </c>
      <c r="C42" s="152">
        <v>0</v>
      </c>
      <c r="D42" s="152"/>
      <c r="E42" s="152"/>
      <c r="F42" s="22"/>
    </row>
    <row r="43" spans="2:6" s="21" customFormat="1" ht="14.25" customHeight="1" thickBot="1">
      <c r="B43" s="24" t="s">
        <v>28</v>
      </c>
      <c r="C43" s="153">
        <f>SUM(C41:E42)</f>
        <v>78.91</v>
      </c>
      <c r="D43" s="153"/>
      <c r="E43" s="153"/>
      <c r="F43" s="22"/>
    </row>
    <row r="44" spans="2:6" s="21" customFormat="1" ht="14.25" customHeight="1" thickBot="1">
      <c r="B44" s="154"/>
      <c r="C44" s="154"/>
      <c r="D44" s="154"/>
      <c r="E44" s="154"/>
      <c r="F44" s="22"/>
    </row>
    <row r="45" spans="2:6" s="21" customFormat="1" ht="14.25" customHeight="1" thickBot="1">
      <c r="B45" s="155" t="s">
        <v>29</v>
      </c>
      <c r="C45" s="155"/>
      <c r="D45" s="155"/>
      <c r="E45" s="155"/>
      <c r="F45" s="22"/>
    </row>
    <row r="46" spans="2:6" s="21" customFormat="1" ht="14.25" customHeight="1" thickBot="1">
      <c r="B46" s="150" t="s">
        <v>30</v>
      </c>
      <c r="C46" s="150"/>
      <c r="D46" s="150"/>
      <c r="E46" s="150"/>
      <c r="F46" s="22"/>
    </row>
    <row r="47" spans="2:6" s="21" customFormat="1" ht="14.25" customHeight="1" thickBot="1">
      <c r="B47" s="25" t="s">
        <v>31</v>
      </c>
      <c r="C47" s="26" t="s">
        <v>32</v>
      </c>
      <c r="D47" s="145" t="s">
        <v>7</v>
      </c>
      <c r="E47" s="145"/>
      <c r="F47" s="22"/>
    </row>
    <row r="48" spans="2:6" s="21" customFormat="1" ht="14.25" customHeight="1">
      <c r="B48" s="27" t="s">
        <v>33</v>
      </c>
      <c r="C48" s="28">
        <v>20</v>
      </c>
      <c r="D48" s="142">
        <f aca="true" t="shared" si="0" ref="D48:D53">$C$27*(C48/100)</f>
        <v>201.02363636363637</v>
      </c>
      <c r="E48" s="142"/>
      <c r="F48" s="22"/>
    </row>
    <row r="49" spans="2:6" s="21" customFormat="1" ht="14.25" customHeight="1">
      <c r="B49" s="29" t="s">
        <v>34</v>
      </c>
      <c r="C49" s="30">
        <v>1.5</v>
      </c>
      <c r="D49" s="149">
        <f t="shared" si="0"/>
        <v>15.076772727272727</v>
      </c>
      <c r="E49" s="149"/>
      <c r="F49" s="22"/>
    </row>
    <row r="50" spans="2:6" s="21" customFormat="1" ht="14.25" customHeight="1">
      <c r="B50" s="29" t="s">
        <v>35</v>
      </c>
      <c r="C50" s="30">
        <v>1</v>
      </c>
      <c r="D50" s="149">
        <f t="shared" si="0"/>
        <v>10.051181818181819</v>
      </c>
      <c r="E50" s="149"/>
      <c r="F50" s="22"/>
    </row>
    <row r="51" spans="2:6" s="21" customFormat="1" ht="14.25" customHeight="1">
      <c r="B51" s="29" t="s">
        <v>36</v>
      </c>
      <c r="C51" s="30">
        <v>0.2</v>
      </c>
      <c r="D51" s="149">
        <f t="shared" si="0"/>
        <v>2.0102363636363636</v>
      </c>
      <c r="E51" s="149"/>
      <c r="F51" s="22"/>
    </row>
    <row r="52" spans="2:6" s="21" customFormat="1" ht="14.25" customHeight="1">
      <c r="B52" s="29" t="s">
        <v>37</v>
      </c>
      <c r="C52" s="30">
        <v>2.5</v>
      </c>
      <c r="D52" s="149">
        <f t="shared" si="0"/>
        <v>25.127954545454546</v>
      </c>
      <c r="E52" s="149"/>
      <c r="F52" s="22"/>
    </row>
    <row r="53" spans="2:6" s="21" customFormat="1" ht="14.25" customHeight="1">
      <c r="B53" s="31" t="s">
        <v>38</v>
      </c>
      <c r="C53" s="32">
        <v>8</v>
      </c>
      <c r="D53" s="139">
        <f t="shared" si="0"/>
        <v>80.40945454545455</v>
      </c>
      <c r="E53" s="139"/>
      <c r="F53" s="22"/>
    </row>
    <row r="54" spans="2:6" s="21" customFormat="1" ht="14.25" customHeight="1">
      <c r="B54" s="31" t="s">
        <v>39</v>
      </c>
      <c r="C54" s="71">
        <v>6</v>
      </c>
      <c r="D54" s="139">
        <f>$C$27*(C54/100)</f>
        <v>60.30709090909091</v>
      </c>
      <c r="E54" s="139"/>
      <c r="F54" s="22"/>
    </row>
    <row r="55" spans="2:6" s="21" customFormat="1" ht="14.25" customHeight="1">
      <c r="B55" s="29" t="s">
        <v>40</v>
      </c>
      <c r="C55" s="30">
        <v>0.6000000000000001</v>
      </c>
      <c r="D55" s="149">
        <f>$C$27*(C55/100)</f>
        <v>6.030709090909092</v>
      </c>
      <c r="E55" s="149"/>
      <c r="F55" s="22"/>
    </row>
    <row r="56" spans="2:6" s="21" customFormat="1" ht="14.25" customHeight="1" thickBot="1">
      <c r="B56" s="33" t="s">
        <v>41</v>
      </c>
      <c r="C56" s="34">
        <f>SUM(C48:C55)</f>
        <v>39.800000000000004</v>
      </c>
      <c r="D56" s="134">
        <f>SUM(D48:E55)</f>
        <v>400.0370363636364</v>
      </c>
      <c r="E56" s="134"/>
      <c r="F56" s="60"/>
    </row>
    <row r="57" spans="2:6" s="21" customFormat="1" ht="14.25" customHeight="1">
      <c r="B57" s="35" t="s">
        <v>42</v>
      </c>
      <c r="C57" s="36"/>
      <c r="D57" s="36"/>
      <c r="E57" s="36"/>
      <c r="F57" s="22"/>
    </row>
    <row r="58" spans="2:8" s="21" customFormat="1" ht="14.25" customHeight="1" thickBot="1">
      <c r="B58" s="37"/>
      <c r="C58" s="36"/>
      <c r="D58" s="36"/>
      <c r="E58" s="36"/>
      <c r="F58" s="22"/>
      <c r="H58" s="61"/>
    </row>
    <row r="59" spans="2:6" s="21" customFormat="1" ht="14.25" customHeight="1" thickBot="1">
      <c r="B59" s="144" t="s">
        <v>43</v>
      </c>
      <c r="C59" s="144"/>
      <c r="D59" s="144"/>
      <c r="E59" s="144"/>
      <c r="F59" s="22"/>
    </row>
    <row r="60" spans="2:6" s="21" customFormat="1" ht="14.25" customHeight="1" thickBot="1">
      <c r="B60" s="25" t="s">
        <v>44</v>
      </c>
      <c r="C60" s="146" t="s">
        <v>7</v>
      </c>
      <c r="D60" s="146"/>
      <c r="E60" s="146"/>
      <c r="F60" s="22"/>
    </row>
    <row r="61" spans="2:6" s="21" customFormat="1" ht="14.25" customHeight="1">
      <c r="B61" s="27" t="s">
        <v>45</v>
      </c>
      <c r="C61" s="142">
        <f>$C$27*0.0833</f>
        <v>83.72634454545455</v>
      </c>
      <c r="D61" s="142"/>
      <c r="E61" s="142"/>
      <c r="F61" s="22"/>
    </row>
    <row r="62" spans="2:6" s="21" customFormat="1" ht="14.25" customHeight="1">
      <c r="B62" s="31" t="s">
        <v>46</v>
      </c>
      <c r="C62" s="139">
        <f>$C$27*0.0278</f>
        <v>27.942285454545452</v>
      </c>
      <c r="D62" s="139"/>
      <c r="E62" s="139"/>
      <c r="F62" s="22"/>
    </row>
    <row r="63" spans="2:6" s="21" customFormat="1" ht="14.25" customHeight="1">
      <c r="B63" s="38" t="s">
        <v>47</v>
      </c>
      <c r="C63" s="148">
        <f>SUM(C61:E62)</f>
        <v>111.66863000000001</v>
      </c>
      <c r="D63" s="148"/>
      <c r="E63" s="148"/>
      <c r="F63" s="22"/>
    </row>
    <row r="64" spans="2:6" s="21" customFormat="1" ht="14.25" customHeight="1">
      <c r="B64" s="31" t="s">
        <v>48</v>
      </c>
      <c r="C64" s="139">
        <f>C63*(C56/100)</f>
        <v>44.44411474</v>
      </c>
      <c r="D64" s="139"/>
      <c r="E64" s="139"/>
      <c r="F64" s="22"/>
    </row>
    <row r="65" spans="2:6" s="21" customFormat="1" ht="14.25" customHeight="1" thickBot="1">
      <c r="B65" s="33" t="s">
        <v>41</v>
      </c>
      <c r="C65" s="134">
        <f>SUM(C63:E64)</f>
        <v>156.11274474</v>
      </c>
      <c r="D65" s="134"/>
      <c r="E65" s="134"/>
      <c r="F65" s="22"/>
    </row>
    <row r="66" spans="2:6" s="21" customFormat="1" ht="14.25" customHeight="1" thickBot="1">
      <c r="B66" s="37"/>
      <c r="C66" s="36"/>
      <c r="D66" s="36"/>
      <c r="E66" s="36"/>
      <c r="F66" s="39"/>
    </row>
    <row r="67" spans="2:6" s="21" customFormat="1" ht="14.25" customHeight="1" thickBot="1">
      <c r="B67" s="144" t="s">
        <v>49</v>
      </c>
      <c r="C67" s="144"/>
      <c r="D67" s="144"/>
      <c r="E67" s="144"/>
      <c r="F67" s="22"/>
    </row>
    <row r="68" spans="2:6" s="21" customFormat="1" ht="14.25" customHeight="1" thickBot="1">
      <c r="B68" s="25" t="s">
        <v>50</v>
      </c>
      <c r="C68" s="146" t="s">
        <v>7</v>
      </c>
      <c r="D68" s="146"/>
      <c r="E68" s="146"/>
      <c r="F68" s="22"/>
    </row>
    <row r="69" spans="2:6" s="21" customFormat="1" ht="14.25" customHeight="1">
      <c r="B69" s="27" t="s">
        <v>51</v>
      </c>
      <c r="C69" s="142">
        <f>(((C61)+(C62)+C35)*4*0.6181*0.0606)/12</f>
        <v>1.6776756541006</v>
      </c>
      <c r="D69" s="142"/>
      <c r="E69" s="142"/>
      <c r="F69" s="22"/>
    </row>
    <row r="70" spans="2:6" s="21" customFormat="1" ht="14.25" customHeight="1">
      <c r="B70" s="31" t="s">
        <v>52</v>
      </c>
      <c r="C70" s="139">
        <f>C69*(C56/100)</f>
        <v>0.6677149103320388</v>
      </c>
      <c r="D70" s="139"/>
      <c r="E70" s="139"/>
      <c r="F70" s="22"/>
    </row>
    <row r="71" spans="2:6" s="21" customFormat="1" ht="14.25" customHeight="1" thickBot="1">
      <c r="B71" s="33" t="s">
        <v>41</v>
      </c>
      <c r="C71" s="147">
        <f>SUM(C69:E70)</f>
        <v>2.3453905644326385</v>
      </c>
      <c r="D71" s="147"/>
      <c r="E71" s="147"/>
      <c r="F71" s="22"/>
    </row>
    <row r="72" spans="2:12" s="21" customFormat="1" ht="14.25" customHeight="1" thickBot="1">
      <c r="B72" s="37"/>
      <c r="C72" s="36"/>
      <c r="D72" s="36"/>
      <c r="E72" s="36"/>
      <c r="F72" s="22"/>
      <c r="L72"/>
    </row>
    <row r="73" spans="2:6" s="21" customFormat="1" ht="14.25" customHeight="1" thickBot="1">
      <c r="B73" s="144" t="s">
        <v>53</v>
      </c>
      <c r="C73" s="144"/>
      <c r="D73" s="144"/>
      <c r="E73" s="144"/>
      <c r="F73" s="22"/>
    </row>
    <row r="74" spans="2:6" s="21" customFormat="1" ht="14.25" customHeight="1" thickBot="1">
      <c r="B74" s="25" t="s">
        <v>54</v>
      </c>
      <c r="C74" s="146" t="s">
        <v>7</v>
      </c>
      <c r="D74" s="146"/>
      <c r="E74" s="146"/>
      <c r="F74" s="22"/>
    </row>
    <row r="75" spans="2:6" s="21" customFormat="1" ht="14.25" customHeight="1">
      <c r="B75" s="27" t="s">
        <v>55</v>
      </c>
      <c r="C75" s="142">
        <f>C27*(0.05*(1/12))</f>
        <v>4.187992424242424</v>
      </c>
      <c r="D75" s="142"/>
      <c r="E75" s="142"/>
      <c r="F75" s="22"/>
    </row>
    <row r="76" spans="2:6" s="21" customFormat="1" ht="14.25" customHeight="1">
      <c r="B76" s="31" t="s">
        <v>56</v>
      </c>
      <c r="C76" s="139">
        <f>C75*(C56/100)</f>
        <v>1.6668209848484847</v>
      </c>
      <c r="D76" s="139"/>
      <c r="E76" s="139"/>
      <c r="F76" s="39"/>
    </row>
    <row r="77" spans="2:6" s="21" customFormat="1" ht="14.25" customHeight="1">
      <c r="B77" s="31" t="s">
        <v>57</v>
      </c>
      <c r="C77" s="139">
        <f>$C$27*(0.08*0.5*0.05)</f>
        <v>2.0102363636363636</v>
      </c>
      <c r="D77" s="139"/>
      <c r="E77" s="139"/>
      <c r="F77" s="22"/>
    </row>
    <row r="78" spans="2:6" s="21" customFormat="1" ht="14.25" customHeight="1">
      <c r="B78" s="31" t="s">
        <v>58</v>
      </c>
      <c r="C78" s="139">
        <f>C27*0.01944</f>
        <v>19.539497454545458</v>
      </c>
      <c r="D78" s="139"/>
      <c r="E78" s="139"/>
      <c r="F78" s="22"/>
    </row>
    <row r="79" spans="2:6" s="21" customFormat="1" ht="14.25" customHeight="1">
      <c r="B79" s="31" t="s">
        <v>59</v>
      </c>
      <c r="C79" s="139">
        <f>C78*(C56/100)</f>
        <v>7.776719986909093</v>
      </c>
      <c r="D79" s="139"/>
      <c r="E79" s="139"/>
      <c r="F79" s="22"/>
    </row>
    <row r="80" spans="2:6" s="40" customFormat="1" ht="15" customHeight="1">
      <c r="B80" s="31" t="s">
        <v>60</v>
      </c>
      <c r="C80" s="139">
        <f>$C$27*(0.08*0.5)</f>
        <v>40.204727272727276</v>
      </c>
      <c r="D80" s="139"/>
      <c r="E80" s="139"/>
      <c r="F80" s="42"/>
    </row>
    <row r="81" spans="2:6" s="21" customFormat="1" ht="15" customHeight="1" thickBot="1">
      <c r="B81" s="33" t="s">
        <v>41</v>
      </c>
      <c r="C81" s="134">
        <f>SUM(C75:E80)</f>
        <v>75.3859944869091</v>
      </c>
      <c r="D81" s="134"/>
      <c r="E81" s="134"/>
      <c r="F81" s="22"/>
    </row>
    <row r="82" spans="2:6" s="21" customFormat="1" ht="15" customHeight="1" thickBot="1">
      <c r="B82" s="37"/>
      <c r="C82" s="36"/>
      <c r="D82" s="36"/>
      <c r="E82" s="36"/>
      <c r="F82" s="22"/>
    </row>
    <row r="83" spans="2:6" s="21" customFormat="1" ht="15" customHeight="1" thickBot="1">
      <c r="B83" s="144" t="s">
        <v>61</v>
      </c>
      <c r="C83" s="144"/>
      <c r="D83" s="144"/>
      <c r="E83" s="144"/>
      <c r="F83" s="22"/>
    </row>
    <row r="84" spans="2:5" s="21" customFormat="1" ht="15" customHeight="1" thickBot="1">
      <c r="B84" s="25" t="s">
        <v>62</v>
      </c>
      <c r="C84" s="145" t="s">
        <v>7</v>
      </c>
      <c r="D84" s="145"/>
      <c r="E84" s="145"/>
    </row>
    <row r="85" spans="2:5" s="21" customFormat="1" ht="15" customHeight="1">
      <c r="B85" s="41" t="s">
        <v>63</v>
      </c>
      <c r="C85" s="142">
        <f>C27*0.0833</f>
        <v>83.72634454545455</v>
      </c>
      <c r="D85" s="142"/>
      <c r="E85" s="142"/>
    </row>
    <row r="86" spans="1:5" s="21" customFormat="1" ht="15" customHeight="1">
      <c r="A86" s="44"/>
      <c r="B86" s="31" t="s">
        <v>64</v>
      </c>
      <c r="C86" s="139">
        <f>C27*0.0166</f>
        <v>16.68496181818182</v>
      </c>
      <c r="D86" s="139"/>
      <c r="E86" s="139"/>
    </row>
    <row r="87" spans="1:5" s="21" customFormat="1" ht="15" customHeight="1">
      <c r="A87" s="44"/>
      <c r="B87" s="31" t="s">
        <v>65</v>
      </c>
      <c r="C87" s="139">
        <f>C27*0.0002</f>
        <v>0.20102363636363638</v>
      </c>
      <c r="D87" s="139"/>
      <c r="E87" s="139"/>
    </row>
    <row r="88" spans="2:5" s="40" customFormat="1" ht="15" customHeight="1">
      <c r="B88" s="31" t="s">
        <v>66</v>
      </c>
      <c r="C88" s="139">
        <f>C27*((2.96/30)/12)</f>
        <v>8.264305050505051</v>
      </c>
      <c r="D88" s="139"/>
      <c r="E88" s="139"/>
    </row>
    <row r="89" spans="2:5" s="40" customFormat="1" ht="15" customHeight="1">
      <c r="B89" s="31" t="s">
        <v>67</v>
      </c>
      <c r="C89" s="139">
        <f>C27*0.0003</f>
        <v>0.3015354545454545</v>
      </c>
      <c r="D89" s="139"/>
      <c r="E89" s="139"/>
    </row>
    <row r="90" spans="2:5" s="40" customFormat="1" ht="15" customHeight="1">
      <c r="B90" s="43" t="s">
        <v>68</v>
      </c>
      <c r="C90" s="139">
        <v>0</v>
      </c>
      <c r="D90" s="139"/>
      <c r="E90" s="139"/>
    </row>
    <row r="91" spans="2:5" s="40" customFormat="1" ht="15" customHeight="1">
      <c r="B91" s="31" t="s">
        <v>69</v>
      </c>
      <c r="C91" s="139">
        <f>SUM(C85:E90)*(C56/100)</f>
        <v>43.45291186101011</v>
      </c>
      <c r="D91" s="139"/>
      <c r="E91" s="139"/>
    </row>
    <row r="92" spans="2:5" s="40" customFormat="1" ht="15" customHeight="1" thickBot="1">
      <c r="B92" s="33" t="s">
        <v>41</v>
      </c>
      <c r="C92" s="134">
        <f>SUM(C85:E91)</f>
        <v>152.63108236606064</v>
      </c>
      <c r="D92" s="134"/>
      <c r="E92" s="134"/>
    </row>
    <row r="93" s="40" customFormat="1" ht="15" customHeight="1" thickBot="1">
      <c r="B93" s="45"/>
    </row>
    <row r="94" spans="2:5" s="40" customFormat="1" ht="15" customHeight="1" thickBot="1">
      <c r="B94" s="143" t="s">
        <v>70</v>
      </c>
      <c r="C94" s="143"/>
      <c r="D94" s="143"/>
      <c r="E94" s="143"/>
    </row>
    <row r="95" spans="2:5" s="40" customFormat="1" ht="15" customHeight="1" thickBot="1">
      <c r="B95" s="46" t="s">
        <v>71</v>
      </c>
      <c r="C95" s="141" t="s">
        <v>7</v>
      </c>
      <c r="D95" s="141"/>
      <c r="E95" s="141"/>
    </row>
    <row r="96" spans="2:5" s="40" customFormat="1" ht="15" customHeight="1">
      <c r="B96" s="41" t="s">
        <v>72</v>
      </c>
      <c r="C96" s="142">
        <f>D56</f>
        <v>400.0370363636364</v>
      </c>
      <c r="D96" s="142"/>
      <c r="E96" s="142"/>
    </row>
    <row r="97" spans="2:6" s="40" customFormat="1" ht="15" customHeight="1">
      <c r="B97" s="47" t="s">
        <v>73</v>
      </c>
      <c r="C97" s="139">
        <f>C65</f>
        <v>156.11274474</v>
      </c>
      <c r="D97" s="139"/>
      <c r="E97" s="139"/>
      <c r="F97" s="49"/>
    </row>
    <row r="98" spans="2:5" s="40" customFormat="1" ht="15" customHeight="1">
      <c r="B98" s="47" t="s">
        <v>74</v>
      </c>
      <c r="C98" s="139">
        <f>C71</f>
        <v>2.3453905644326385</v>
      </c>
      <c r="D98" s="139"/>
      <c r="E98" s="139"/>
    </row>
    <row r="99" spans="2:5" s="40" customFormat="1" ht="15" customHeight="1">
      <c r="B99" s="47" t="s">
        <v>75</v>
      </c>
      <c r="C99" s="139">
        <f>C81</f>
        <v>75.3859944869091</v>
      </c>
      <c r="D99" s="139"/>
      <c r="E99" s="139"/>
    </row>
    <row r="100" spans="2:5" s="40" customFormat="1" ht="15" customHeight="1">
      <c r="B100" s="47" t="s">
        <v>76</v>
      </c>
      <c r="C100" s="139">
        <f>C92</f>
        <v>152.63108236606064</v>
      </c>
      <c r="D100" s="139"/>
      <c r="E100" s="139"/>
    </row>
    <row r="101" spans="2:10" s="40" customFormat="1" ht="15" customHeight="1">
      <c r="B101" s="47" t="s">
        <v>77</v>
      </c>
      <c r="C101" s="139"/>
      <c r="D101" s="139"/>
      <c r="E101" s="139"/>
      <c r="J101" s="72"/>
    </row>
    <row r="102" spans="2:10" s="40" customFormat="1" ht="15" customHeight="1" thickBot="1">
      <c r="B102" s="48" t="s">
        <v>41</v>
      </c>
      <c r="C102" s="134">
        <f>SUM(C96:E101)</f>
        <v>786.5122485210388</v>
      </c>
      <c r="D102" s="134"/>
      <c r="E102" s="134"/>
      <c r="J102" s="61"/>
    </row>
    <row r="103" spans="2:10" s="40" customFormat="1" ht="15" customHeight="1" thickBot="1">
      <c r="B103" s="45"/>
      <c r="J103" s="61"/>
    </row>
    <row r="104" spans="2:5" s="40" customFormat="1" ht="15" customHeight="1" thickBot="1">
      <c r="B104" s="140" t="s">
        <v>78</v>
      </c>
      <c r="C104" s="140"/>
      <c r="D104" s="140"/>
      <c r="E104" s="140"/>
    </row>
    <row r="105" spans="2:5" s="40" customFormat="1" ht="15" customHeight="1" thickBot="1">
      <c r="B105" s="46" t="s">
        <v>79</v>
      </c>
      <c r="C105" s="50" t="s">
        <v>32</v>
      </c>
      <c r="D105" s="141" t="s">
        <v>7</v>
      </c>
      <c r="E105" s="141"/>
    </row>
    <row r="106" spans="2:5" s="40" customFormat="1" ht="15" customHeight="1">
      <c r="B106" s="81" t="s">
        <v>80</v>
      </c>
      <c r="C106" s="82">
        <f>'Custos Indiretos e Lucro'!E3</f>
        <v>0.06</v>
      </c>
      <c r="D106" s="142">
        <f>(C102+C43+C37+C27)*C106</f>
        <v>139.7772424870199</v>
      </c>
      <c r="E106" s="142"/>
    </row>
    <row r="107" spans="2:5" s="40" customFormat="1" ht="15" customHeight="1">
      <c r="B107" s="79" t="s">
        <v>81</v>
      </c>
      <c r="C107" s="83"/>
      <c r="D107" s="139"/>
      <c r="E107" s="139"/>
    </row>
    <row r="108" spans="2:5" s="40" customFormat="1" ht="15" customHeight="1">
      <c r="B108" s="79" t="s">
        <v>82</v>
      </c>
      <c r="C108" s="84">
        <f>7.6+1.65</f>
        <v>9.25</v>
      </c>
      <c r="D108" s="139">
        <f>((C102+C43+C37+C27+D106+D112)/(1-(C108+C110)/100))*(C108/100)</f>
        <v>278.6316019949758</v>
      </c>
      <c r="E108" s="139"/>
    </row>
    <row r="109" spans="2:5" s="40" customFormat="1" ht="15" customHeight="1">
      <c r="B109" s="79" t="s">
        <v>83</v>
      </c>
      <c r="C109" s="83"/>
      <c r="D109" s="139"/>
      <c r="E109" s="139"/>
    </row>
    <row r="110" spans="2:5" s="40" customFormat="1" ht="15" customHeight="1">
      <c r="B110" s="79" t="s">
        <v>153</v>
      </c>
      <c r="C110" s="84">
        <v>5</v>
      </c>
      <c r="D110" s="139">
        <f>((C102+C43+C37+C27+D106+D112)/(1-(C108+C110)/100))*(C110/100)</f>
        <v>150.61167675404099</v>
      </c>
      <c r="E110" s="139"/>
    </row>
    <row r="111" spans="2:5" s="40" customFormat="1" ht="15" customHeight="1">
      <c r="B111" s="79" t="s">
        <v>84</v>
      </c>
      <c r="C111" s="83"/>
      <c r="D111" s="139"/>
      <c r="E111" s="139"/>
    </row>
    <row r="112" spans="2:5" s="40" customFormat="1" ht="15" customHeight="1">
      <c r="B112" s="79" t="s">
        <v>85</v>
      </c>
      <c r="C112" s="80">
        <f>'Custos Indiretos e Lucro'!E4</f>
        <v>0.046000000000000006</v>
      </c>
      <c r="D112" s="139">
        <f>(C102+C43+C37+C27+D106)*C112</f>
        <v>113.59230572778485</v>
      </c>
      <c r="E112" s="139"/>
    </row>
    <row r="113" spans="2:5" s="40" customFormat="1" ht="15" customHeight="1" thickBot="1">
      <c r="B113" s="48" t="s">
        <v>41</v>
      </c>
      <c r="C113" s="51">
        <f>SUM(C106:C112)</f>
        <v>14.356</v>
      </c>
      <c r="D113" s="134">
        <f>SUM(D106:E112)</f>
        <v>682.6128269638216</v>
      </c>
      <c r="E113" s="134"/>
    </row>
    <row r="114" s="40" customFormat="1" ht="15" customHeight="1">
      <c r="B114" s="45"/>
    </row>
    <row r="115" spans="2:5" s="40" customFormat="1" ht="15" customHeight="1">
      <c r="B115" s="135" t="s">
        <v>86</v>
      </c>
      <c r="C115" s="135"/>
      <c r="D115" s="135"/>
      <c r="E115" s="135"/>
    </row>
    <row r="116" spans="2:5" s="40" customFormat="1" ht="15" customHeight="1">
      <c r="B116" s="136" t="s">
        <v>87</v>
      </c>
      <c r="C116" s="136"/>
      <c r="D116" s="136"/>
      <c r="E116" s="136"/>
    </row>
    <row r="117" s="40" customFormat="1" ht="15" customHeight="1" thickBot="1">
      <c r="B117" s="45"/>
    </row>
    <row r="118" spans="2:5" s="40" customFormat="1" ht="15" customHeight="1" thickBot="1">
      <c r="B118" s="69" t="s">
        <v>88</v>
      </c>
      <c r="C118" s="137" t="s">
        <v>7</v>
      </c>
      <c r="D118" s="137"/>
      <c r="E118" s="137"/>
    </row>
    <row r="119" spans="2:5" s="40" customFormat="1" ht="15" customHeight="1">
      <c r="B119" s="41" t="s">
        <v>89</v>
      </c>
      <c r="C119" s="138">
        <f>C27</f>
        <v>1005.1181818181818</v>
      </c>
      <c r="D119" s="138"/>
      <c r="E119" s="138"/>
    </row>
    <row r="120" spans="2:5" s="40" customFormat="1" ht="15" customHeight="1">
      <c r="B120" s="47" t="s">
        <v>90</v>
      </c>
      <c r="C120" s="130">
        <f>C37</f>
        <v>459.0802777777778</v>
      </c>
      <c r="D120" s="130"/>
      <c r="E120" s="130"/>
    </row>
    <row r="121" spans="2:5" s="40" customFormat="1" ht="15" customHeight="1">
      <c r="B121" s="47" t="s">
        <v>91</v>
      </c>
      <c r="C121" s="130">
        <f>C43</f>
        <v>78.91</v>
      </c>
      <c r="D121" s="130"/>
      <c r="E121" s="130"/>
    </row>
    <row r="122" spans="2:5" s="40" customFormat="1" ht="15" customHeight="1">
      <c r="B122" s="47" t="s">
        <v>92</v>
      </c>
      <c r="C122" s="130">
        <f>C102</f>
        <v>786.5122485210388</v>
      </c>
      <c r="D122" s="130"/>
      <c r="E122" s="130"/>
    </row>
    <row r="123" spans="2:5" s="40" customFormat="1" ht="15" customHeight="1">
      <c r="B123" s="52" t="s">
        <v>93</v>
      </c>
      <c r="C123" s="131">
        <f>SUM(C119:E122)</f>
        <v>2329.6207081169987</v>
      </c>
      <c r="D123" s="131"/>
      <c r="E123" s="131"/>
    </row>
    <row r="124" spans="2:5" s="40" customFormat="1" ht="15" customHeight="1">
      <c r="B124" s="47" t="s">
        <v>94</v>
      </c>
      <c r="C124" s="130">
        <f>D113</f>
        <v>682.6128269638216</v>
      </c>
      <c r="D124" s="130"/>
      <c r="E124" s="130"/>
    </row>
    <row r="125" spans="2:5" ht="13.5" thickBot="1">
      <c r="B125" s="48" t="s">
        <v>95</v>
      </c>
      <c r="C125" s="132">
        <f>SUM(C123:E124)</f>
        <v>3012.2335350808203</v>
      </c>
      <c r="D125" s="132"/>
      <c r="E125" s="132"/>
    </row>
    <row r="126" spans="2:5" ht="13.5" thickBot="1">
      <c r="B126" s="53" t="s">
        <v>96</v>
      </c>
      <c r="C126" s="133">
        <f>C125/C27</f>
        <v>2.996894882183825</v>
      </c>
      <c r="D126" s="133"/>
      <c r="E126" s="133"/>
    </row>
    <row r="127" spans="2:5" ht="15.75">
      <c r="B127" s="45"/>
      <c r="C127" s="40"/>
      <c r="D127" s="40"/>
      <c r="E127" s="40"/>
    </row>
  </sheetData>
  <sheetProtection selectLockedCells="1" selectUnlockedCells="1"/>
  <mergeCells count="113">
    <mergeCell ref="C122:E122"/>
    <mergeCell ref="C123:E123"/>
    <mergeCell ref="C124:E124"/>
    <mergeCell ref="C125:E125"/>
    <mergeCell ref="C126:E126"/>
    <mergeCell ref="B115:E115"/>
    <mergeCell ref="B116:E116"/>
    <mergeCell ref="C118:E118"/>
    <mergeCell ref="C119:E119"/>
    <mergeCell ref="C120:E120"/>
    <mergeCell ref="C121:E121"/>
    <mergeCell ref="D108:E108"/>
    <mergeCell ref="D109:E109"/>
    <mergeCell ref="D110:E110"/>
    <mergeCell ref="D111:E111"/>
    <mergeCell ref="D112:E112"/>
    <mergeCell ref="D113:E113"/>
    <mergeCell ref="C101:E101"/>
    <mergeCell ref="C102:E102"/>
    <mergeCell ref="B104:E104"/>
    <mergeCell ref="D105:E105"/>
    <mergeCell ref="D106:E106"/>
    <mergeCell ref="D107:E107"/>
    <mergeCell ref="C95:E95"/>
    <mergeCell ref="C96:E96"/>
    <mergeCell ref="C97:E97"/>
    <mergeCell ref="C98:E98"/>
    <mergeCell ref="C99:E99"/>
    <mergeCell ref="C100:E100"/>
    <mergeCell ref="C88:E88"/>
    <mergeCell ref="C89:E89"/>
    <mergeCell ref="C90:E90"/>
    <mergeCell ref="C91:E91"/>
    <mergeCell ref="C92:E92"/>
    <mergeCell ref="B94:E94"/>
    <mergeCell ref="C81:E81"/>
    <mergeCell ref="B83:E83"/>
    <mergeCell ref="C84:E84"/>
    <mergeCell ref="C85:E85"/>
    <mergeCell ref="C86:E86"/>
    <mergeCell ref="C87:E87"/>
    <mergeCell ref="C75:E75"/>
    <mergeCell ref="C76:E76"/>
    <mergeCell ref="C77:E77"/>
    <mergeCell ref="C78:E78"/>
    <mergeCell ref="C79:E79"/>
    <mergeCell ref="C80:E80"/>
    <mergeCell ref="C68:E68"/>
    <mergeCell ref="C69:E69"/>
    <mergeCell ref="C70:E70"/>
    <mergeCell ref="C71:E71"/>
    <mergeCell ref="B73:E73"/>
    <mergeCell ref="C74:E74"/>
    <mergeCell ref="C61:E61"/>
    <mergeCell ref="C62:E62"/>
    <mergeCell ref="C63:E63"/>
    <mergeCell ref="C64:E64"/>
    <mergeCell ref="C65:E65"/>
    <mergeCell ref="B67:E67"/>
    <mergeCell ref="D53:E53"/>
    <mergeCell ref="D54:E54"/>
    <mergeCell ref="D55:E55"/>
    <mergeCell ref="D56:E56"/>
    <mergeCell ref="B59:E59"/>
    <mergeCell ref="C60:E60"/>
    <mergeCell ref="D47:E47"/>
    <mergeCell ref="D48:E48"/>
    <mergeCell ref="D49:E49"/>
    <mergeCell ref="D50:E50"/>
    <mergeCell ref="D51:E51"/>
    <mergeCell ref="D52:E52"/>
    <mergeCell ref="C41:E41"/>
    <mergeCell ref="C42:E42"/>
    <mergeCell ref="C43:E43"/>
    <mergeCell ref="B44:E44"/>
    <mergeCell ref="B45:E45"/>
    <mergeCell ref="B46:E46"/>
    <mergeCell ref="C35:E35"/>
    <mergeCell ref="C36:E36"/>
    <mergeCell ref="C37:E37"/>
    <mergeCell ref="B38:E38"/>
    <mergeCell ref="B39:E39"/>
    <mergeCell ref="C40:E40"/>
    <mergeCell ref="B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B28:E28"/>
    <mergeCell ref="B17:E17"/>
    <mergeCell ref="C18:E18"/>
    <mergeCell ref="C19:E19"/>
    <mergeCell ref="C20:E20"/>
    <mergeCell ref="C21:E21"/>
    <mergeCell ref="C22:E22"/>
    <mergeCell ref="B9:E9"/>
    <mergeCell ref="C10:E10"/>
    <mergeCell ref="C11:E11"/>
    <mergeCell ref="C12:E12"/>
    <mergeCell ref="C13:E13"/>
    <mergeCell ref="C14:E14"/>
    <mergeCell ref="B1:E1"/>
    <mergeCell ref="C3:E3"/>
    <mergeCell ref="C5:E5"/>
    <mergeCell ref="C6:E6"/>
    <mergeCell ref="C7:E7"/>
    <mergeCell ref="C8:E8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72" r:id="rId3"/>
  <headerFooter alignWithMargins="0">
    <oddHeader>&amp;C&amp;"Times New Roman,Normal"&amp;12&amp;A</oddHeader>
    <oddFooter>&amp;C&amp;"Times New Roman,Normal"&amp;12Página &amp;P</oddFooter>
  </headerFooter>
  <colBreaks count="1" manualBreakCount="1">
    <brk id="5" max="65535" man="1"/>
  </colBreaks>
  <ignoredErrors>
    <ignoredError sqref="C6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SheetLayoutView="100" zoomScalePageLayoutView="0" workbookViewId="0" topLeftCell="A113">
      <selection activeCell="F18" sqref="F18"/>
    </sheetView>
  </sheetViews>
  <sheetFormatPr defaultColWidth="11.421875" defaultRowHeight="12.75"/>
  <cols>
    <col min="1" max="1" width="3.421875" style="1" customWidth="1"/>
    <col min="2" max="2" width="65.7109375" style="1" customWidth="1"/>
    <col min="3" max="3" width="15.57421875" style="1" customWidth="1"/>
    <col min="4" max="4" width="15.7109375" style="1" customWidth="1"/>
    <col min="5" max="5" width="22.8515625" style="1" customWidth="1"/>
    <col min="6" max="6" width="20.57421875" style="2" customWidth="1"/>
    <col min="7" max="8" width="11.421875" style="1" customWidth="1"/>
    <col min="9" max="9" width="16.8515625" style="1" bestFit="1" customWidth="1"/>
    <col min="10" max="10" width="28.00390625" style="1" customWidth="1"/>
    <col min="11" max="11" width="16.57421875" style="1" bestFit="1" customWidth="1"/>
    <col min="12" max="16384" width="11.421875" style="1" customWidth="1"/>
  </cols>
  <sheetData>
    <row r="1" spans="2:5" ht="39" customHeight="1">
      <c r="B1" s="173" t="s">
        <v>159</v>
      </c>
      <c r="C1" s="173"/>
      <c r="D1" s="173"/>
      <c r="E1" s="173"/>
    </row>
    <row r="2" spans="2:5" ht="17.25" customHeight="1" thickBot="1">
      <c r="B2" s="3"/>
      <c r="C2" s="4"/>
      <c r="D2" s="4"/>
      <c r="E2" s="4"/>
    </row>
    <row r="3" spans="2:5" ht="17.25" customHeight="1" thickBot="1">
      <c r="B3" s="68" t="s">
        <v>0</v>
      </c>
      <c r="C3" s="174" t="s">
        <v>131</v>
      </c>
      <c r="D3" s="174"/>
      <c r="E3" s="174"/>
    </row>
    <row r="4" spans="2:5" ht="17.25" customHeight="1" thickBot="1">
      <c r="B4" s="3"/>
      <c r="C4" s="4"/>
      <c r="D4" s="4"/>
      <c r="E4" s="4"/>
    </row>
    <row r="5" spans="2:5" ht="17.25" customHeight="1">
      <c r="B5" s="85" t="s">
        <v>114</v>
      </c>
      <c r="C5" s="175" t="s">
        <v>118</v>
      </c>
      <c r="D5" s="176"/>
      <c r="E5" s="177"/>
    </row>
    <row r="6" spans="2:5" ht="15.75" customHeight="1">
      <c r="B6" s="86" t="s">
        <v>115</v>
      </c>
      <c r="C6" s="178" t="s">
        <v>154</v>
      </c>
      <c r="D6" s="179"/>
      <c r="E6" s="180"/>
    </row>
    <row r="7" spans="2:5" ht="15.75" customHeight="1">
      <c r="B7" s="86" t="s">
        <v>116</v>
      </c>
      <c r="C7" s="178" t="s">
        <v>126</v>
      </c>
      <c r="D7" s="179"/>
      <c r="E7" s="180"/>
    </row>
    <row r="8" spans="2:5" ht="15.75" customHeight="1" thickBot="1">
      <c r="B8" s="87" t="s">
        <v>117</v>
      </c>
      <c r="C8" s="181">
        <v>12</v>
      </c>
      <c r="D8" s="182"/>
      <c r="E8" s="183"/>
    </row>
    <row r="9" spans="2:5" ht="16.5" customHeight="1" thickBot="1">
      <c r="B9" s="167"/>
      <c r="C9" s="167"/>
      <c r="D9" s="167"/>
      <c r="E9" s="167"/>
    </row>
    <row r="10" spans="2:5" ht="15.75" customHeight="1">
      <c r="B10" s="5" t="s">
        <v>1</v>
      </c>
      <c r="C10" s="168" t="s">
        <v>132</v>
      </c>
      <c r="D10" s="168"/>
      <c r="E10" s="168"/>
    </row>
    <row r="11" spans="2:5" ht="15.75" customHeight="1">
      <c r="B11" s="6" t="s">
        <v>2</v>
      </c>
      <c r="C11" s="169">
        <f>30.42*(5/7)-(12*(5/7))/12</f>
        <v>21.014285714285716</v>
      </c>
      <c r="D11" s="169"/>
      <c r="E11" s="169"/>
    </row>
    <row r="12" spans="2:5" ht="12" customHeight="1">
      <c r="B12" s="7" t="s">
        <v>133</v>
      </c>
      <c r="C12" s="170">
        <v>1064.41</v>
      </c>
      <c r="D12" s="170"/>
      <c r="E12" s="170"/>
    </row>
    <row r="13" spans="2:5" ht="23.25" customHeight="1">
      <c r="B13" s="7" t="s">
        <v>3</v>
      </c>
      <c r="C13" s="171" t="s">
        <v>134</v>
      </c>
      <c r="D13" s="171"/>
      <c r="E13" s="171"/>
    </row>
    <row r="14" spans="2:5" ht="15.75" customHeight="1" thickBot="1">
      <c r="B14" s="8" t="s">
        <v>4</v>
      </c>
      <c r="C14" s="172">
        <v>42736</v>
      </c>
      <c r="D14" s="172"/>
      <c r="E14" s="172"/>
    </row>
    <row r="15" spans="2:5" ht="15" customHeight="1" thickBot="1">
      <c r="B15" s="9"/>
      <c r="C15" s="10"/>
      <c r="D15" s="11"/>
      <c r="E15" s="11"/>
    </row>
    <row r="16" spans="3:5" ht="15.75" customHeight="1" hidden="1" thickBot="1">
      <c r="C16" s="12"/>
      <c r="D16" s="12"/>
      <c r="E16" s="12"/>
    </row>
    <row r="17" spans="2:5" ht="15.75" customHeight="1">
      <c r="B17" s="165" t="s">
        <v>5</v>
      </c>
      <c r="C17" s="165"/>
      <c r="D17" s="165"/>
      <c r="E17" s="165"/>
    </row>
    <row r="18" spans="2:5" ht="15.75" customHeight="1">
      <c r="B18" s="13" t="s">
        <v>6</v>
      </c>
      <c r="C18" s="166" t="s">
        <v>7</v>
      </c>
      <c r="D18" s="166"/>
      <c r="E18" s="166"/>
    </row>
    <row r="19" spans="2:5" ht="15.75" customHeight="1">
      <c r="B19" s="14" t="s">
        <v>8</v>
      </c>
      <c r="C19" s="152">
        <f>(C12/44)*40</f>
        <v>967.6454545454545</v>
      </c>
      <c r="D19" s="152"/>
      <c r="E19" s="152"/>
    </row>
    <row r="20" spans="2:5" ht="15.75" customHeight="1">
      <c r="B20" s="14" t="s">
        <v>9</v>
      </c>
      <c r="C20" s="156"/>
      <c r="D20" s="156"/>
      <c r="E20" s="156"/>
    </row>
    <row r="21" spans="2:5" ht="15.75" customHeight="1">
      <c r="B21" s="14" t="s">
        <v>10</v>
      </c>
      <c r="C21" s="156"/>
      <c r="D21" s="156"/>
      <c r="E21" s="156"/>
    </row>
    <row r="22" spans="2:5" ht="15.75" customHeight="1">
      <c r="B22" s="15" t="s">
        <v>107</v>
      </c>
      <c r="C22" s="162"/>
      <c r="D22" s="162"/>
      <c r="E22" s="162"/>
    </row>
    <row r="23" spans="2:5" ht="15.75" customHeight="1">
      <c r="B23" s="15" t="s">
        <v>11</v>
      </c>
      <c r="C23" s="161"/>
      <c r="D23" s="161"/>
      <c r="E23" s="161"/>
    </row>
    <row r="24" spans="2:5" ht="15.75" customHeight="1">
      <c r="B24" s="15" t="s">
        <v>12</v>
      </c>
      <c r="C24" s="161"/>
      <c r="D24" s="161"/>
      <c r="E24" s="161"/>
    </row>
    <row r="25" spans="2:5" ht="15.75" customHeight="1">
      <c r="B25" s="15" t="s">
        <v>13</v>
      </c>
      <c r="C25" s="156"/>
      <c r="D25" s="156"/>
      <c r="E25" s="156"/>
    </row>
    <row r="26" spans="2:5" ht="15.75" customHeight="1">
      <c r="B26" s="15" t="s">
        <v>14</v>
      </c>
      <c r="C26" s="162">
        <f>(41.22/44)*40</f>
        <v>37.47272727272727</v>
      </c>
      <c r="D26" s="162"/>
      <c r="E26" s="162"/>
    </row>
    <row r="27" spans="2:6" ht="15.75" customHeight="1" thickBot="1">
      <c r="B27" s="16" t="s">
        <v>15</v>
      </c>
      <c r="C27" s="163">
        <f>SUM(C19:E26)</f>
        <v>1005.1181818181818</v>
      </c>
      <c r="D27" s="163"/>
      <c r="E27" s="163"/>
      <c r="F27" s="19"/>
    </row>
    <row r="28" spans="2:5" ht="15.75" customHeight="1" thickBot="1">
      <c r="B28" s="164"/>
      <c r="C28" s="164"/>
      <c r="D28" s="164"/>
      <c r="E28" s="164"/>
    </row>
    <row r="29" spans="2:5" ht="15.75" customHeight="1" thickBot="1">
      <c r="B29" s="155" t="s">
        <v>16</v>
      </c>
      <c r="C29" s="155"/>
      <c r="D29" s="155"/>
      <c r="E29" s="155"/>
    </row>
    <row r="30" spans="2:5" ht="15.75" customHeight="1" thickBot="1">
      <c r="B30" s="17" t="s">
        <v>17</v>
      </c>
      <c r="C30" s="159" t="s">
        <v>7</v>
      </c>
      <c r="D30" s="159"/>
      <c r="E30" s="159"/>
    </row>
    <row r="31" spans="2:5" ht="15.75" customHeight="1">
      <c r="B31" s="18" t="s">
        <v>18</v>
      </c>
      <c r="C31" s="160">
        <f>(3*2*C11)-(C19*0.06)</f>
        <v>68.02698701298702</v>
      </c>
      <c r="D31" s="160"/>
      <c r="E31" s="160"/>
    </row>
    <row r="32" spans="2:5" ht="15.75" customHeight="1">
      <c r="B32" s="14" t="s">
        <v>19</v>
      </c>
      <c r="C32" s="152">
        <f>(14*0.8*C11)</f>
        <v>235.36000000000004</v>
      </c>
      <c r="D32" s="152"/>
      <c r="E32" s="152"/>
    </row>
    <row r="33" spans="2:5" ht="15.75" customHeight="1">
      <c r="B33" s="14" t="s">
        <v>20</v>
      </c>
      <c r="C33" s="156">
        <v>0</v>
      </c>
      <c r="D33" s="156"/>
      <c r="E33" s="156"/>
    </row>
    <row r="34" spans="2:6" s="21" customFormat="1" ht="15" customHeight="1">
      <c r="B34" s="14" t="s">
        <v>21</v>
      </c>
      <c r="C34" s="156">
        <v>0</v>
      </c>
      <c r="D34" s="156"/>
      <c r="E34" s="156"/>
      <c r="F34" s="22"/>
    </row>
    <row r="35" spans="2:6" s="21" customFormat="1" ht="15" customHeight="1">
      <c r="B35" s="20" t="s">
        <v>22</v>
      </c>
      <c r="C35" s="156">
        <v>22.7</v>
      </c>
      <c r="D35" s="156"/>
      <c r="E35" s="156"/>
      <c r="F35" s="22"/>
    </row>
    <row r="36" spans="2:6" s="21" customFormat="1" ht="15" customHeight="1">
      <c r="B36" s="14" t="s">
        <v>23</v>
      </c>
      <c r="C36" s="156">
        <v>110</v>
      </c>
      <c r="D36" s="156"/>
      <c r="E36" s="156"/>
      <c r="F36" s="22"/>
    </row>
    <row r="37" spans="2:6" s="21" customFormat="1" ht="15" customHeight="1" thickBot="1">
      <c r="B37" s="16" t="s">
        <v>24</v>
      </c>
      <c r="C37" s="153">
        <f>SUM(C31:E36)</f>
        <v>436.08698701298704</v>
      </c>
      <c r="D37" s="153"/>
      <c r="E37" s="153"/>
      <c r="F37" s="22"/>
    </row>
    <row r="38" spans="2:6" s="21" customFormat="1" ht="18.75" customHeight="1" thickBot="1">
      <c r="B38" s="157"/>
      <c r="C38" s="157"/>
      <c r="D38" s="157"/>
      <c r="E38" s="157"/>
      <c r="F38" s="22"/>
    </row>
    <row r="39" spans="2:6" s="21" customFormat="1" ht="13.5" customHeight="1" thickBot="1">
      <c r="B39" s="155" t="s">
        <v>25</v>
      </c>
      <c r="C39" s="155"/>
      <c r="D39" s="155"/>
      <c r="E39" s="155"/>
      <c r="F39" s="22"/>
    </row>
    <row r="40" spans="2:6" s="21" customFormat="1" ht="13.5" customHeight="1" thickBot="1">
      <c r="B40" s="17" t="s">
        <v>26</v>
      </c>
      <c r="C40" s="158" t="s">
        <v>7</v>
      </c>
      <c r="D40" s="158"/>
      <c r="E40" s="158"/>
      <c r="F40" s="22"/>
    </row>
    <row r="41" spans="2:6" s="21" customFormat="1" ht="13.5" customHeight="1">
      <c r="B41" s="23" t="s">
        <v>27</v>
      </c>
      <c r="C41" s="151">
        <f>Uniformes!H12</f>
        <v>78.91</v>
      </c>
      <c r="D41" s="151"/>
      <c r="E41" s="151"/>
      <c r="F41" s="22"/>
    </row>
    <row r="42" spans="2:6" s="21" customFormat="1" ht="13.5" customHeight="1">
      <c r="B42" s="70" t="s">
        <v>129</v>
      </c>
      <c r="C42" s="152">
        <v>0</v>
      </c>
      <c r="D42" s="152"/>
      <c r="E42" s="152"/>
      <c r="F42" s="22"/>
    </row>
    <row r="43" spans="2:6" s="21" customFormat="1" ht="14.25" customHeight="1" thickBot="1">
      <c r="B43" s="24" t="s">
        <v>28</v>
      </c>
      <c r="C43" s="153">
        <f>SUM(C41:E42)</f>
        <v>78.91</v>
      </c>
      <c r="D43" s="153"/>
      <c r="E43" s="153"/>
      <c r="F43" s="22"/>
    </row>
    <row r="44" spans="2:6" s="21" customFormat="1" ht="14.25" customHeight="1" thickBot="1">
      <c r="B44" s="154"/>
      <c r="C44" s="154"/>
      <c r="D44" s="154"/>
      <c r="E44" s="154"/>
      <c r="F44" s="22"/>
    </row>
    <row r="45" spans="2:6" s="21" customFormat="1" ht="14.25" customHeight="1" thickBot="1">
      <c r="B45" s="155" t="s">
        <v>29</v>
      </c>
      <c r="C45" s="155"/>
      <c r="D45" s="155"/>
      <c r="E45" s="155"/>
      <c r="F45" s="22"/>
    </row>
    <row r="46" spans="2:6" s="21" customFormat="1" ht="14.25" customHeight="1" thickBot="1">
      <c r="B46" s="150" t="s">
        <v>30</v>
      </c>
      <c r="C46" s="150"/>
      <c r="D46" s="150"/>
      <c r="E46" s="150"/>
      <c r="F46" s="22"/>
    </row>
    <row r="47" spans="2:6" s="21" customFormat="1" ht="14.25" customHeight="1" thickBot="1">
      <c r="B47" s="25" t="s">
        <v>31</v>
      </c>
      <c r="C47" s="26" t="s">
        <v>32</v>
      </c>
      <c r="D47" s="145" t="s">
        <v>7</v>
      </c>
      <c r="E47" s="145"/>
      <c r="F47" s="22"/>
    </row>
    <row r="48" spans="2:6" s="21" customFormat="1" ht="14.25" customHeight="1">
      <c r="B48" s="27" t="s">
        <v>33</v>
      </c>
      <c r="C48" s="28">
        <v>20</v>
      </c>
      <c r="D48" s="142">
        <f aca="true" t="shared" si="0" ref="D48:D53">$C$27*(C48/100)</f>
        <v>201.02363636363637</v>
      </c>
      <c r="E48" s="142"/>
      <c r="F48" s="22"/>
    </row>
    <row r="49" spans="2:6" s="21" customFormat="1" ht="14.25" customHeight="1">
      <c r="B49" s="29" t="s">
        <v>34</v>
      </c>
      <c r="C49" s="30">
        <v>1.5</v>
      </c>
      <c r="D49" s="149">
        <f t="shared" si="0"/>
        <v>15.076772727272727</v>
      </c>
      <c r="E49" s="149"/>
      <c r="F49" s="22"/>
    </row>
    <row r="50" spans="2:6" s="21" customFormat="1" ht="14.25" customHeight="1">
      <c r="B50" s="29" t="s">
        <v>35</v>
      </c>
      <c r="C50" s="30">
        <v>1</v>
      </c>
      <c r="D50" s="149">
        <f t="shared" si="0"/>
        <v>10.051181818181819</v>
      </c>
      <c r="E50" s="149"/>
      <c r="F50" s="22"/>
    </row>
    <row r="51" spans="2:6" s="21" customFormat="1" ht="14.25" customHeight="1">
      <c r="B51" s="29" t="s">
        <v>36</v>
      </c>
      <c r="C51" s="30">
        <v>0.2</v>
      </c>
      <c r="D51" s="149">
        <f t="shared" si="0"/>
        <v>2.0102363636363636</v>
      </c>
      <c r="E51" s="149"/>
      <c r="F51" s="22"/>
    </row>
    <row r="52" spans="2:6" s="21" customFormat="1" ht="14.25" customHeight="1">
      <c r="B52" s="29" t="s">
        <v>37</v>
      </c>
      <c r="C52" s="30">
        <v>2.5</v>
      </c>
      <c r="D52" s="149">
        <f t="shared" si="0"/>
        <v>25.127954545454546</v>
      </c>
      <c r="E52" s="149"/>
      <c r="F52" s="22"/>
    </row>
    <row r="53" spans="2:6" s="21" customFormat="1" ht="14.25" customHeight="1">
      <c r="B53" s="31" t="s">
        <v>38</v>
      </c>
      <c r="C53" s="32">
        <v>8</v>
      </c>
      <c r="D53" s="139">
        <f t="shared" si="0"/>
        <v>80.40945454545455</v>
      </c>
      <c r="E53" s="139"/>
      <c r="F53" s="22"/>
    </row>
    <row r="54" spans="2:6" s="21" customFormat="1" ht="14.25" customHeight="1">
      <c r="B54" s="31" t="s">
        <v>39</v>
      </c>
      <c r="C54" s="71">
        <v>6</v>
      </c>
      <c r="D54" s="139">
        <f>$C$27*(C54/100)</f>
        <v>60.30709090909091</v>
      </c>
      <c r="E54" s="139"/>
      <c r="F54" s="22"/>
    </row>
    <row r="55" spans="2:6" s="21" customFormat="1" ht="14.25" customHeight="1">
      <c r="B55" s="29" t="s">
        <v>40</v>
      </c>
      <c r="C55" s="30">
        <v>0.6000000000000001</v>
      </c>
      <c r="D55" s="149">
        <f>$C$27*(C55/100)</f>
        <v>6.030709090909092</v>
      </c>
      <c r="E55" s="149"/>
      <c r="F55" s="22"/>
    </row>
    <row r="56" spans="2:6" s="21" customFormat="1" ht="14.25" customHeight="1" thickBot="1">
      <c r="B56" s="33" t="s">
        <v>41</v>
      </c>
      <c r="C56" s="34">
        <f>SUM(C48:C55)</f>
        <v>39.800000000000004</v>
      </c>
      <c r="D56" s="134">
        <f>SUM(D48:E55)</f>
        <v>400.0370363636364</v>
      </c>
      <c r="E56" s="134"/>
      <c r="F56" s="60"/>
    </row>
    <row r="57" spans="2:6" s="21" customFormat="1" ht="14.25" customHeight="1">
      <c r="B57" s="35" t="s">
        <v>42</v>
      </c>
      <c r="C57" s="36"/>
      <c r="D57" s="36"/>
      <c r="E57" s="36"/>
      <c r="F57" s="22"/>
    </row>
    <row r="58" spans="2:8" s="21" customFormat="1" ht="14.25" customHeight="1" thickBot="1">
      <c r="B58" s="37"/>
      <c r="C58" s="36"/>
      <c r="D58" s="36"/>
      <c r="E58" s="36"/>
      <c r="F58" s="22"/>
      <c r="H58" s="61"/>
    </row>
    <row r="59" spans="2:6" s="21" customFormat="1" ht="14.25" customHeight="1" thickBot="1">
      <c r="B59" s="144" t="s">
        <v>43</v>
      </c>
      <c r="C59" s="144"/>
      <c r="D59" s="144"/>
      <c r="E59" s="144"/>
      <c r="F59" s="22"/>
    </row>
    <row r="60" spans="2:6" s="21" customFormat="1" ht="14.25" customHeight="1" thickBot="1">
      <c r="B60" s="25" t="s">
        <v>44</v>
      </c>
      <c r="C60" s="146" t="s">
        <v>7</v>
      </c>
      <c r="D60" s="146"/>
      <c r="E60" s="146"/>
      <c r="F60" s="22"/>
    </row>
    <row r="61" spans="2:6" s="21" customFormat="1" ht="14.25" customHeight="1">
      <c r="B61" s="27" t="s">
        <v>45</v>
      </c>
      <c r="C61" s="142">
        <f>$C$27*0.0833</f>
        <v>83.72634454545455</v>
      </c>
      <c r="D61" s="142"/>
      <c r="E61" s="142"/>
      <c r="F61" s="22"/>
    </row>
    <row r="62" spans="2:6" s="21" customFormat="1" ht="14.25" customHeight="1">
      <c r="B62" s="31" t="s">
        <v>46</v>
      </c>
      <c r="C62" s="139">
        <f>$C$27*0.0278</f>
        <v>27.942285454545452</v>
      </c>
      <c r="D62" s="139"/>
      <c r="E62" s="139"/>
      <c r="F62" s="22"/>
    </row>
    <row r="63" spans="2:6" s="21" customFormat="1" ht="14.25" customHeight="1">
      <c r="B63" s="38" t="s">
        <v>47</v>
      </c>
      <c r="C63" s="148">
        <f>SUM(C61:E62)</f>
        <v>111.66863000000001</v>
      </c>
      <c r="D63" s="148"/>
      <c r="E63" s="148"/>
      <c r="F63" s="22"/>
    </row>
    <row r="64" spans="2:6" s="21" customFormat="1" ht="14.25" customHeight="1">
      <c r="B64" s="31" t="s">
        <v>48</v>
      </c>
      <c r="C64" s="139">
        <f>C63*(C56/100)</f>
        <v>44.44411474</v>
      </c>
      <c r="D64" s="139"/>
      <c r="E64" s="139"/>
      <c r="F64" s="22"/>
    </row>
    <row r="65" spans="2:6" s="21" customFormat="1" ht="14.25" customHeight="1" thickBot="1">
      <c r="B65" s="33" t="s">
        <v>41</v>
      </c>
      <c r="C65" s="134">
        <f>SUM(C63:E64)</f>
        <v>156.11274474</v>
      </c>
      <c r="D65" s="134"/>
      <c r="E65" s="134"/>
      <c r="F65" s="22"/>
    </row>
    <row r="66" spans="2:6" s="21" customFormat="1" ht="14.25" customHeight="1" thickBot="1">
      <c r="B66" s="37"/>
      <c r="C66" s="36"/>
      <c r="D66" s="36"/>
      <c r="E66" s="36"/>
      <c r="F66" s="39"/>
    </row>
    <row r="67" spans="2:6" s="21" customFormat="1" ht="14.25" customHeight="1" thickBot="1">
      <c r="B67" s="144" t="s">
        <v>49</v>
      </c>
      <c r="C67" s="144"/>
      <c r="D67" s="144"/>
      <c r="E67" s="144"/>
      <c r="F67" s="22"/>
    </row>
    <row r="68" spans="2:6" s="21" customFormat="1" ht="14.25" customHeight="1" thickBot="1">
      <c r="B68" s="25" t="s">
        <v>50</v>
      </c>
      <c r="C68" s="146" t="s">
        <v>7</v>
      </c>
      <c r="D68" s="146"/>
      <c r="E68" s="146"/>
      <c r="F68" s="22"/>
    </row>
    <row r="69" spans="2:6" s="21" customFormat="1" ht="14.25" customHeight="1">
      <c r="B69" s="27" t="s">
        <v>51</v>
      </c>
      <c r="C69" s="142">
        <f>(((C61)+(C62)+C35)*4*0.6181*0.0606)/12</f>
        <v>1.6776756541006</v>
      </c>
      <c r="D69" s="142"/>
      <c r="E69" s="142"/>
      <c r="F69" s="22"/>
    </row>
    <row r="70" spans="2:6" s="21" customFormat="1" ht="14.25" customHeight="1">
      <c r="B70" s="31" t="s">
        <v>52</v>
      </c>
      <c r="C70" s="139">
        <f>C69*(C56/100)</f>
        <v>0.6677149103320388</v>
      </c>
      <c r="D70" s="139"/>
      <c r="E70" s="139"/>
      <c r="F70" s="22"/>
    </row>
    <row r="71" spans="2:6" s="21" customFormat="1" ht="14.25" customHeight="1" thickBot="1">
      <c r="B71" s="33" t="s">
        <v>41</v>
      </c>
      <c r="C71" s="147">
        <f>SUM(C69:E70)</f>
        <v>2.3453905644326385</v>
      </c>
      <c r="D71" s="147"/>
      <c r="E71" s="147"/>
      <c r="F71" s="22"/>
    </row>
    <row r="72" spans="2:12" s="21" customFormat="1" ht="14.25" customHeight="1" thickBot="1">
      <c r="B72" s="37"/>
      <c r="C72" s="36"/>
      <c r="D72" s="36"/>
      <c r="E72" s="36"/>
      <c r="F72" s="22"/>
      <c r="L72"/>
    </row>
    <row r="73" spans="2:6" s="21" customFormat="1" ht="14.25" customHeight="1" thickBot="1">
      <c r="B73" s="144" t="s">
        <v>53</v>
      </c>
      <c r="C73" s="144"/>
      <c r="D73" s="144"/>
      <c r="E73" s="144"/>
      <c r="F73" s="22"/>
    </row>
    <row r="74" spans="2:6" s="21" customFormat="1" ht="14.25" customHeight="1" thickBot="1">
      <c r="B74" s="25" t="s">
        <v>54</v>
      </c>
      <c r="C74" s="146" t="s">
        <v>7</v>
      </c>
      <c r="D74" s="146"/>
      <c r="E74" s="146"/>
      <c r="F74" s="22"/>
    </row>
    <row r="75" spans="2:6" s="21" customFormat="1" ht="14.25" customHeight="1">
      <c r="B75" s="27" t="s">
        <v>55</v>
      </c>
      <c r="C75" s="142">
        <f>C27*(0.05*(1/12))</f>
        <v>4.187992424242424</v>
      </c>
      <c r="D75" s="142"/>
      <c r="E75" s="142"/>
      <c r="F75" s="22"/>
    </row>
    <row r="76" spans="2:6" s="21" customFormat="1" ht="14.25" customHeight="1">
      <c r="B76" s="31" t="s">
        <v>56</v>
      </c>
      <c r="C76" s="139">
        <f>C75*(C56/100)</f>
        <v>1.6668209848484847</v>
      </c>
      <c r="D76" s="139"/>
      <c r="E76" s="139"/>
      <c r="F76" s="39"/>
    </row>
    <row r="77" spans="2:6" s="21" customFormat="1" ht="14.25" customHeight="1">
      <c r="B77" s="31" t="s">
        <v>57</v>
      </c>
      <c r="C77" s="139">
        <f>$C$27*(0.08*0.5*0.05)</f>
        <v>2.0102363636363636</v>
      </c>
      <c r="D77" s="139"/>
      <c r="E77" s="139"/>
      <c r="F77" s="22"/>
    </row>
    <row r="78" spans="2:6" s="21" customFormat="1" ht="14.25" customHeight="1">
      <c r="B78" s="31" t="s">
        <v>58</v>
      </c>
      <c r="C78" s="139">
        <f>C27*0.01944</f>
        <v>19.539497454545458</v>
      </c>
      <c r="D78" s="139"/>
      <c r="E78" s="139"/>
      <c r="F78" s="22"/>
    </row>
    <row r="79" spans="2:6" s="21" customFormat="1" ht="14.25" customHeight="1">
      <c r="B79" s="31" t="s">
        <v>59</v>
      </c>
      <c r="C79" s="139">
        <f>C78*(C56/100)</f>
        <v>7.776719986909093</v>
      </c>
      <c r="D79" s="139"/>
      <c r="E79" s="139"/>
      <c r="F79" s="22"/>
    </row>
    <row r="80" spans="2:6" s="40" customFormat="1" ht="15" customHeight="1">
      <c r="B80" s="31" t="s">
        <v>60</v>
      </c>
      <c r="C80" s="139">
        <f>$C$27*(0.08*0.5)</f>
        <v>40.204727272727276</v>
      </c>
      <c r="D80" s="139"/>
      <c r="E80" s="139"/>
      <c r="F80" s="42"/>
    </row>
    <row r="81" spans="2:6" s="21" customFormat="1" ht="15" customHeight="1" thickBot="1">
      <c r="B81" s="33" t="s">
        <v>41</v>
      </c>
      <c r="C81" s="134">
        <f>SUM(C75:E80)</f>
        <v>75.3859944869091</v>
      </c>
      <c r="D81" s="134"/>
      <c r="E81" s="134"/>
      <c r="F81" s="22"/>
    </row>
    <row r="82" spans="2:6" s="21" customFormat="1" ht="15" customHeight="1" thickBot="1">
      <c r="B82" s="37"/>
      <c r="C82" s="36"/>
      <c r="D82" s="36"/>
      <c r="E82" s="36"/>
      <c r="F82" s="22"/>
    </row>
    <row r="83" spans="2:6" s="21" customFormat="1" ht="15" customHeight="1" thickBot="1">
      <c r="B83" s="144" t="s">
        <v>61</v>
      </c>
      <c r="C83" s="144"/>
      <c r="D83" s="144"/>
      <c r="E83" s="144"/>
      <c r="F83" s="22"/>
    </row>
    <row r="84" spans="2:5" s="21" customFormat="1" ht="15" customHeight="1" thickBot="1">
      <c r="B84" s="25" t="s">
        <v>62</v>
      </c>
      <c r="C84" s="145" t="s">
        <v>7</v>
      </c>
      <c r="D84" s="145"/>
      <c r="E84" s="145"/>
    </row>
    <row r="85" spans="2:5" s="21" customFormat="1" ht="15" customHeight="1">
      <c r="B85" s="41" t="s">
        <v>63</v>
      </c>
      <c r="C85" s="142">
        <f>C27*0.0833</f>
        <v>83.72634454545455</v>
      </c>
      <c r="D85" s="142"/>
      <c r="E85" s="142"/>
    </row>
    <row r="86" spans="1:5" s="21" customFormat="1" ht="15" customHeight="1">
      <c r="A86" s="44"/>
      <c r="B86" s="31" t="s">
        <v>64</v>
      </c>
      <c r="C86" s="139">
        <f>C27*0.0166</f>
        <v>16.68496181818182</v>
      </c>
      <c r="D86" s="139"/>
      <c r="E86" s="139"/>
    </row>
    <row r="87" spans="1:5" s="21" customFormat="1" ht="15" customHeight="1">
      <c r="A87" s="44"/>
      <c r="B87" s="31" t="s">
        <v>65</v>
      </c>
      <c r="C87" s="139">
        <f>C27*0.0002</f>
        <v>0.20102363636363638</v>
      </c>
      <c r="D87" s="139"/>
      <c r="E87" s="139"/>
    </row>
    <row r="88" spans="2:5" s="40" customFormat="1" ht="15" customHeight="1">
      <c r="B88" s="31" t="s">
        <v>66</v>
      </c>
      <c r="C88" s="139">
        <f>C27*((2.96/30)/12)</f>
        <v>8.264305050505051</v>
      </c>
      <c r="D88" s="139"/>
      <c r="E88" s="139"/>
    </row>
    <row r="89" spans="2:5" s="40" customFormat="1" ht="15" customHeight="1">
      <c r="B89" s="31" t="s">
        <v>67</v>
      </c>
      <c r="C89" s="139">
        <f>C27*0.0003</f>
        <v>0.3015354545454545</v>
      </c>
      <c r="D89" s="139"/>
      <c r="E89" s="139"/>
    </row>
    <row r="90" spans="2:5" s="40" customFormat="1" ht="15" customHeight="1">
      <c r="B90" s="43" t="s">
        <v>68</v>
      </c>
      <c r="C90" s="139">
        <v>0</v>
      </c>
      <c r="D90" s="139"/>
      <c r="E90" s="139"/>
    </row>
    <row r="91" spans="2:5" s="40" customFormat="1" ht="15" customHeight="1">
      <c r="B91" s="31" t="s">
        <v>69</v>
      </c>
      <c r="C91" s="139">
        <f>SUM(C85:E90)*(C56/100)</f>
        <v>43.45291186101011</v>
      </c>
      <c r="D91" s="139"/>
      <c r="E91" s="139"/>
    </row>
    <row r="92" spans="2:5" s="40" customFormat="1" ht="15" customHeight="1" thickBot="1">
      <c r="B92" s="33" t="s">
        <v>41</v>
      </c>
      <c r="C92" s="134">
        <f>SUM(C85:E91)</f>
        <v>152.63108236606064</v>
      </c>
      <c r="D92" s="134"/>
      <c r="E92" s="134"/>
    </row>
    <row r="93" s="40" customFormat="1" ht="15" customHeight="1" thickBot="1">
      <c r="B93" s="45"/>
    </row>
    <row r="94" spans="2:5" s="40" customFormat="1" ht="15" customHeight="1" thickBot="1">
      <c r="B94" s="143" t="s">
        <v>70</v>
      </c>
      <c r="C94" s="143"/>
      <c r="D94" s="143"/>
      <c r="E94" s="143"/>
    </row>
    <row r="95" spans="2:5" s="40" customFormat="1" ht="15" customHeight="1" thickBot="1">
      <c r="B95" s="46" t="s">
        <v>71</v>
      </c>
      <c r="C95" s="141" t="s">
        <v>7</v>
      </c>
      <c r="D95" s="141"/>
      <c r="E95" s="141"/>
    </row>
    <row r="96" spans="2:5" s="40" customFormat="1" ht="15" customHeight="1">
      <c r="B96" s="41" t="s">
        <v>72</v>
      </c>
      <c r="C96" s="142">
        <f>D56</f>
        <v>400.0370363636364</v>
      </c>
      <c r="D96" s="142"/>
      <c r="E96" s="142"/>
    </row>
    <row r="97" spans="2:6" s="40" customFormat="1" ht="15" customHeight="1">
      <c r="B97" s="47" t="s">
        <v>73</v>
      </c>
      <c r="C97" s="139">
        <f>C65</f>
        <v>156.11274474</v>
      </c>
      <c r="D97" s="139"/>
      <c r="E97" s="139"/>
      <c r="F97" s="49"/>
    </row>
    <row r="98" spans="2:5" s="40" customFormat="1" ht="15" customHeight="1">
      <c r="B98" s="47" t="s">
        <v>74</v>
      </c>
      <c r="C98" s="139">
        <f>C71</f>
        <v>2.3453905644326385</v>
      </c>
      <c r="D98" s="139"/>
      <c r="E98" s="139"/>
    </row>
    <row r="99" spans="2:5" s="40" customFormat="1" ht="15" customHeight="1">
      <c r="B99" s="47" t="s">
        <v>75</v>
      </c>
      <c r="C99" s="139">
        <f>C81</f>
        <v>75.3859944869091</v>
      </c>
      <c r="D99" s="139"/>
      <c r="E99" s="139"/>
    </row>
    <row r="100" spans="2:5" s="40" customFormat="1" ht="15" customHeight="1">
      <c r="B100" s="47" t="s">
        <v>76</v>
      </c>
      <c r="C100" s="139">
        <f>C92</f>
        <v>152.63108236606064</v>
      </c>
      <c r="D100" s="139"/>
      <c r="E100" s="139"/>
    </row>
    <row r="101" spans="2:10" s="40" customFormat="1" ht="15" customHeight="1">
      <c r="B101" s="47" t="s">
        <v>77</v>
      </c>
      <c r="C101" s="139"/>
      <c r="D101" s="139"/>
      <c r="E101" s="139"/>
      <c r="J101" s="72"/>
    </row>
    <row r="102" spans="2:10" s="40" customFormat="1" ht="15" customHeight="1" thickBot="1">
      <c r="B102" s="48" t="s">
        <v>41</v>
      </c>
      <c r="C102" s="134">
        <f>SUM(C96:E101)</f>
        <v>786.5122485210388</v>
      </c>
      <c r="D102" s="134"/>
      <c r="E102" s="134"/>
      <c r="J102" s="61"/>
    </row>
    <row r="103" spans="2:10" s="40" customFormat="1" ht="15" customHeight="1" thickBot="1">
      <c r="B103" s="45"/>
      <c r="J103" s="61"/>
    </row>
    <row r="104" spans="2:5" s="40" customFormat="1" ht="15" customHeight="1" thickBot="1">
      <c r="B104" s="140" t="s">
        <v>78</v>
      </c>
      <c r="C104" s="140"/>
      <c r="D104" s="140"/>
      <c r="E104" s="140"/>
    </row>
    <row r="105" spans="2:5" s="40" customFormat="1" ht="15" customHeight="1" thickBot="1">
      <c r="B105" s="46" t="s">
        <v>79</v>
      </c>
      <c r="C105" s="50" t="s">
        <v>32</v>
      </c>
      <c r="D105" s="141" t="s">
        <v>7</v>
      </c>
      <c r="E105" s="141"/>
    </row>
    <row r="106" spans="2:5" s="40" customFormat="1" ht="15" customHeight="1">
      <c r="B106" s="81" t="s">
        <v>80</v>
      </c>
      <c r="C106" s="82">
        <f>'Custos Indiretos e Lucro'!E3</f>
        <v>0.06</v>
      </c>
      <c r="D106" s="142">
        <f>(C102+C43+C37+C27)*C106</f>
        <v>138.39764504113245</v>
      </c>
      <c r="E106" s="142"/>
    </row>
    <row r="107" spans="2:5" s="40" customFormat="1" ht="15" customHeight="1">
      <c r="B107" s="79" t="s">
        <v>81</v>
      </c>
      <c r="C107" s="83"/>
      <c r="D107" s="139"/>
      <c r="E107" s="139"/>
    </row>
    <row r="108" spans="2:5" s="40" customFormat="1" ht="15" customHeight="1">
      <c r="B108" s="79" t="s">
        <v>82</v>
      </c>
      <c r="C108" s="84">
        <f>7.6+1.65</f>
        <v>9.25</v>
      </c>
      <c r="D108" s="139">
        <f>((C102+C43+C37+C27+D106+D112)/(1-(C108+C110)/100))*(C108/100)</f>
        <v>275.8815159322071</v>
      </c>
      <c r="E108" s="139"/>
    </row>
    <row r="109" spans="2:5" s="40" customFormat="1" ht="15" customHeight="1">
      <c r="B109" s="79" t="s">
        <v>83</v>
      </c>
      <c r="C109" s="83"/>
      <c r="D109" s="139"/>
      <c r="E109" s="139"/>
    </row>
    <row r="110" spans="2:5" s="40" customFormat="1" ht="15" customHeight="1">
      <c r="B110" s="79" t="s">
        <v>153</v>
      </c>
      <c r="C110" s="84">
        <v>5</v>
      </c>
      <c r="D110" s="139">
        <f>((C102+C43+C37+C27+D106+D112)/(1-(C108+C110)/100))*(C110/100)</f>
        <v>149.12514374713896</v>
      </c>
      <c r="E110" s="139"/>
    </row>
    <row r="111" spans="2:5" s="40" customFormat="1" ht="15" customHeight="1">
      <c r="B111" s="79" t="s">
        <v>84</v>
      </c>
      <c r="C111" s="83"/>
      <c r="D111" s="139"/>
      <c r="E111" s="139"/>
    </row>
    <row r="112" spans="2:5" s="40" customFormat="1" ht="15" customHeight="1">
      <c r="B112" s="79" t="s">
        <v>85</v>
      </c>
      <c r="C112" s="80">
        <f>'Custos Indiretos e Lucro'!E4</f>
        <v>0.046000000000000006</v>
      </c>
      <c r="D112" s="139">
        <f>(C102+C43+C37+C27+D106)*C112</f>
        <v>112.47115287009365</v>
      </c>
      <c r="E112" s="139"/>
    </row>
    <row r="113" spans="2:5" s="40" customFormat="1" ht="15" customHeight="1" thickBot="1">
      <c r="B113" s="48" t="s">
        <v>41</v>
      </c>
      <c r="C113" s="51">
        <f>SUM(C106:C112)</f>
        <v>14.356</v>
      </c>
      <c r="D113" s="134">
        <f>SUM(D106:E112)</f>
        <v>675.8754575905722</v>
      </c>
      <c r="E113" s="134"/>
    </row>
    <row r="114" s="40" customFormat="1" ht="15" customHeight="1">
      <c r="B114" s="45"/>
    </row>
    <row r="115" spans="2:5" s="40" customFormat="1" ht="15" customHeight="1">
      <c r="B115" s="135" t="s">
        <v>86</v>
      </c>
      <c r="C115" s="135"/>
      <c r="D115" s="135"/>
      <c r="E115" s="135"/>
    </row>
    <row r="116" spans="2:5" s="40" customFormat="1" ht="15" customHeight="1">
      <c r="B116" s="136" t="s">
        <v>87</v>
      </c>
      <c r="C116" s="136"/>
      <c r="D116" s="136"/>
      <c r="E116" s="136"/>
    </row>
    <row r="117" s="40" customFormat="1" ht="15" customHeight="1" thickBot="1">
      <c r="B117" s="45"/>
    </row>
    <row r="118" spans="2:5" s="40" customFormat="1" ht="15" customHeight="1" thickBot="1">
      <c r="B118" s="69" t="s">
        <v>88</v>
      </c>
      <c r="C118" s="137" t="s">
        <v>7</v>
      </c>
      <c r="D118" s="137"/>
      <c r="E118" s="137"/>
    </row>
    <row r="119" spans="2:5" s="40" customFormat="1" ht="15" customHeight="1">
      <c r="B119" s="41" t="s">
        <v>89</v>
      </c>
      <c r="C119" s="138">
        <f>C27</f>
        <v>1005.1181818181818</v>
      </c>
      <c r="D119" s="138"/>
      <c r="E119" s="138"/>
    </row>
    <row r="120" spans="2:5" s="40" customFormat="1" ht="15" customHeight="1">
      <c r="B120" s="47" t="s">
        <v>90</v>
      </c>
      <c r="C120" s="130">
        <f>C37</f>
        <v>436.08698701298704</v>
      </c>
      <c r="D120" s="130"/>
      <c r="E120" s="130"/>
    </row>
    <row r="121" spans="2:5" s="40" customFormat="1" ht="15" customHeight="1">
      <c r="B121" s="47" t="s">
        <v>91</v>
      </c>
      <c r="C121" s="130">
        <f>C43</f>
        <v>78.91</v>
      </c>
      <c r="D121" s="130"/>
      <c r="E121" s="130"/>
    </row>
    <row r="122" spans="2:5" s="40" customFormat="1" ht="15" customHeight="1">
      <c r="B122" s="47" t="s">
        <v>92</v>
      </c>
      <c r="C122" s="130">
        <f>C102</f>
        <v>786.5122485210388</v>
      </c>
      <c r="D122" s="130"/>
      <c r="E122" s="130"/>
    </row>
    <row r="123" spans="2:5" s="40" customFormat="1" ht="15" customHeight="1">
      <c r="B123" s="52" t="s">
        <v>93</v>
      </c>
      <c r="C123" s="131">
        <f>SUM(C119:E122)</f>
        <v>2306.627417352208</v>
      </c>
      <c r="D123" s="131"/>
      <c r="E123" s="131"/>
    </row>
    <row r="124" spans="2:5" s="40" customFormat="1" ht="15" customHeight="1">
      <c r="B124" s="47" t="s">
        <v>94</v>
      </c>
      <c r="C124" s="130">
        <f>D113</f>
        <v>675.8754575905722</v>
      </c>
      <c r="D124" s="130"/>
      <c r="E124" s="130"/>
    </row>
    <row r="125" spans="2:5" ht="13.5" thickBot="1">
      <c r="B125" s="48" t="s">
        <v>95</v>
      </c>
      <c r="C125" s="132">
        <f>SUM(C123:E124)</f>
        <v>2982.50287494278</v>
      </c>
      <c r="D125" s="132"/>
      <c r="E125" s="132"/>
    </row>
    <row r="126" spans="2:5" ht="13.5" thickBot="1">
      <c r="B126" s="53" t="s">
        <v>96</v>
      </c>
      <c r="C126" s="133">
        <f>C125/C27</f>
        <v>2.9673156141177954</v>
      </c>
      <c r="D126" s="133"/>
      <c r="E126" s="133"/>
    </row>
    <row r="127" spans="2:5" ht="15.75">
      <c r="B127" s="45"/>
      <c r="C127" s="40"/>
      <c r="D127" s="40"/>
      <c r="E127" s="40"/>
    </row>
  </sheetData>
  <sheetProtection selectLockedCells="1" selectUnlockedCells="1"/>
  <mergeCells count="113">
    <mergeCell ref="C122:E122"/>
    <mergeCell ref="C123:E123"/>
    <mergeCell ref="C124:E124"/>
    <mergeCell ref="C125:E125"/>
    <mergeCell ref="C126:E126"/>
    <mergeCell ref="B115:E115"/>
    <mergeCell ref="B116:E116"/>
    <mergeCell ref="C118:E118"/>
    <mergeCell ref="C119:E119"/>
    <mergeCell ref="C120:E120"/>
    <mergeCell ref="C121:E121"/>
    <mergeCell ref="D108:E108"/>
    <mergeCell ref="D109:E109"/>
    <mergeCell ref="D110:E110"/>
    <mergeCell ref="D111:E111"/>
    <mergeCell ref="D112:E112"/>
    <mergeCell ref="D113:E113"/>
    <mergeCell ref="C101:E101"/>
    <mergeCell ref="C102:E102"/>
    <mergeCell ref="B104:E104"/>
    <mergeCell ref="D105:E105"/>
    <mergeCell ref="D106:E106"/>
    <mergeCell ref="D107:E107"/>
    <mergeCell ref="C95:E95"/>
    <mergeCell ref="C96:E96"/>
    <mergeCell ref="C97:E97"/>
    <mergeCell ref="C98:E98"/>
    <mergeCell ref="C99:E99"/>
    <mergeCell ref="C100:E100"/>
    <mergeCell ref="C88:E88"/>
    <mergeCell ref="C89:E89"/>
    <mergeCell ref="C90:E90"/>
    <mergeCell ref="C91:E91"/>
    <mergeCell ref="C92:E92"/>
    <mergeCell ref="B94:E94"/>
    <mergeCell ref="C81:E81"/>
    <mergeCell ref="B83:E83"/>
    <mergeCell ref="C84:E84"/>
    <mergeCell ref="C85:E85"/>
    <mergeCell ref="C86:E86"/>
    <mergeCell ref="C87:E87"/>
    <mergeCell ref="C75:E75"/>
    <mergeCell ref="C76:E76"/>
    <mergeCell ref="C77:E77"/>
    <mergeCell ref="C78:E78"/>
    <mergeCell ref="C79:E79"/>
    <mergeCell ref="C80:E80"/>
    <mergeCell ref="C68:E68"/>
    <mergeCell ref="C69:E69"/>
    <mergeCell ref="C70:E70"/>
    <mergeCell ref="C71:E71"/>
    <mergeCell ref="B73:E73"/>
    <mergeCell ref="C74:E74"/>
    <mergeCell ref="C61:E61"/>
    <mergeCell ref="C62:E62"/>
    <mergeCell ref="C63:E63"/>
    <mergeCell ref="C64:E64"/>
    <mergeCell ref="C65:E65"/>
    <mergeCell ref="B67:E67"/>
    <mergeCell ref="D53:E53"/>
    <mergeCell ref="D54:E54"/>
    <mergeCell ref="D55:E55"/>
    <mergeCell ref="D56:E56"/>
    <mergeCell ref="B59:E59"/>
    <mergeCell ref="C60:E60"/>
    <mergeCell ref="D47:E47"/>
    <mergeCell ref="D48:E48"/>
    <mergeCell ref="D49:E49"/>
    <mergeCell ref="D50:E50"/>
    <mergeCell ref="D51:E51"/>
    <mergeCell ref="D52:E52"/>
    <mergeCell ref="C41:E41"/>
    <mergeCell ref="C42:E42"/>
    <mergeCell ref="C43:E43"/>
    <mergeCell ref="B44:E44"/>
    <mergeCell ref="B45:E45"/>
    <mergeCell ref="B46:E46"/>
    <mergeCell ref="C35:E35"/>
    <mergeCell ref="C36:E36"/>
    <mergeCell ref="C37:E37"/>
    <mergeCell ref="B38:E38"/>
    <mergeCell ref="B39:E39"/>
    <mergeCell ref="C40:E40"/>
    <mergeCell ref="B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B28:E28"/>
    <mergeCell ref="B17:E17"/>
    <mergeCell ref="C18:E18"/>
    <mergeCell ref="C19:E19"/>
    <mergeCell ref="C20:E20"/>
    <mergeCell ref="C21:E21"/>
    <mergeCell ref="C22:E22"/>
    <mergeCell ref="B9:E9"/>
    <mergeCell ref="C10:E10"/>
    <mergeCell ref="C11:E11"/>
    <mergeCell ref="C12:E12"/>
    <mergeCell ref="C13:E13"/>
    <mergeCell ref="C14:E14"/>
    <mergeCell ref="B1:E1"/>
    <mergeCell ref="C3:E3"/>
    <mergeCell ref="C5:E5"/>
    <mergeCell ref="C6:E6"/>
    <mergeCell ref="C7:E7"/>
    <mergeCell ref="C8:E8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72" r:id="rId3"/>
  <headerFooter alignWithMargins="0">
    <oddHeader>&amp;C&amp;"Times New Roman,Normal"&amp;12&amp;A</oddHeader>
    <oddFooter>&amp;C&amp;"Times New Roman,Normal"&amp;12Página &amp;P</oddFooter>
  </headerFooter>
  <colBreaks count="1" manualBreakCount="1">
    <brk id="5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SheetLayoutView="100" zoomScalePageLayoutView="0" workbookViewId="0" topLeftCell="A1">
      <selection activeCell="C23" sqref="C23:E23"/>
    </sheetView>
  </sheetViews>
  <sheetFormatPr defaultColWidth="11.421875" defaultRowHeight="12.75"/>
  <cols>
    <col min="1" max="1" width="3.421875" style="1" customWidth="1"/>
    <col min="2" max="2" width="65.7109375" style="1" customWidth="1"/>
    <col min="3" max="3" width="15.57421875" style="1" customWidth="1"/>
    <col min="4" max="4" width="15.7109375" style="1" customWidth="1"/>
    <col min="5" max="5" width="22.8515625" style="1" customWidth="1"/>
    <col min="6" max="6" width="20.57421875" style="2" customWidth="1"/>
    <col min="7" max="8" width="11.421875" style="1" customWidth="1"/>
    <col min="9" max="9" width="16.8515625" style="1" bestFit="1" customWidth="1"/>
    <col min="10" max="10" width="28.00390625" style="1" customWidth="1"/>
    <col min="11" max="11" width="16.57421875" style="1" bestFit="1" customWidth="1"/>
    <col min="12" max="16384" width="11.421875" style="1" customWidth="1"/>
  </cols>
  <sheetData>
    <row r="1" spans="2:5" ht="39" customHeight="1">
      <c r="B1" s="173" t="s">
        <v>159</v>
      </c>
      <c r="C1" s="173"/>
      <c r="D1" s="173"/>
      <c r="E1" s="173"/>
    </row>
    <row r="2" spans="2:5" ht="17.25" customHeight="1" thickBot="1">
      <c r="B2" s="3"/>
      <c r="C2" s="4"/>
      <c r="D2" s="4"/>
      <c r="E2" s="4"/>
    </row>
    <row r="3" spans="2:5" ht="17.25" customHeight="1" thickBot="1">
      <c r="B3" s="68" t="s">
        <v>0</v>
      </c>
      <c r="C3" s="174" t="s">
        <v>131</v>
      </c>
      <c r="D3" s="174"/>
      <c r="E3" s="174"/>
    </row>
    <row r="4" spans="2:5" ht="17.25" customHeight="1" thickBot="1">
      <c r="B4" s="3"/>
      <c r="C4" s="4"/>
      <c r="D4" s="4"/>
      <c r="E4" s="4"/>
    </row>
    <row r="5" spans="2:5" ht="17.25" customHeight="1">
      <c r="B5" s="85" t="s">
        <v>114</v>
      </c>
      <c r="C5" s="175" t="s">
        <v>118</v>
      </c>
      <c r="D5" s="176"/>
      <c r="E5" s="177"/>
    </row>
    <row r="6" spans="2:5" ht="15.75" customHeight="1">
      <c r="B6" s="86" t="s">
        <v>115</v>
      </c>
      <c r="C6" s="178" t="s">
        <v>155</v>
      </c>
      <c r="D6" s="179"/>
      <c r="E6" s="180"/>
    </row>
    <row r="7" spans="2:5" ht="15.75" customHeight="1">
      <c r="B7" s="86" t="s">
        <v>116</v>
      </c>
      <c r="C7" s="178" t="s">
        <v>126</v>
      </c>
      <c r="D7" s="179"/>
      <c r="E7" s="180"/>
    </row>
    <row r="8" spans="2:5" ht="15.75" customHeight="1" thickBot="1">
      <c r="B8" s="87" t="s">
        <v>117</v>
      </c>
      <c r="C8" s="181">
        <v>12</v>
      </c>
      <c r="D8" s="182"/>
      <c r="E8" s="183"/>
    </row>
    <row r="9" spans="2:5" ht="16.5" customHeight="1" thickBot="1">
      <c r="B9" s="167"/>
      <c r="C9" s="167"/>
      <c r="D9" s="167"/>
      <c r="E9" s="167"/>
    </row>
    <row r="10" spans="2:5" ht="15.75" customHeight="1">
      <c r="B10" s="5" t="s">
        <v>1</v>
      </c>
      <c r="C10" s="168" t="s">
        <v>132</v>
      </c>
      <c r="D10" s="168"/>
      <c r="E10" s="168"/>
    </row>
    <row r="11" spans="2:5" ht="15.75" customHeight="1">
      <c r="B11" s="6" t="s">
        <v>2</v>
      </c>
      <c r="C11" s="169">
        <f>30.42*(5/7)-(12*(5/7))/12</f>
        <v>21.014285714285716</v>
      </c>
      <c r="D11" s="169"/>
      <c r="E11" s="169"/>
    </row>
    <row r="12" spans="2:5" ht="12" customHeight="1">
      <c r="B12" s="7" t="s">
        <v>133</v>
      </c>
      <c r="C12" s="170">
        <v>1064.41</v>
      </c>
      <c r="D12" s="170"/>
      <c r="E12" s="170"/>
    </row>
    <row r="13" spans="2:5" ht="23.25" customHeight="1">
      <c r="B13" s="7" t="s">
        <v>3</v>
      </c>
      <c r="C13" s="171" t="s">
        <v>134</v>
      </c>
      <c r="D13" s="171"/>
      <c r="E13" s="171"/>
    </row>
    <row r="14" spans="2:5" ht="15.75" customHeight="1" thickBot="1">
      <c r="B14" s="8" t="s">
        <v>4</v>
      </c>
      <c r="C14" s="172">
        <v>42736</v>
      </c>
      <c r="D14" s="172"/>
      <c r="E14" s="172"/>
    </row>
    <row r="15" spans="2:5" ht="15" customHeight="1" thickBot="1">
      <c r="B15" s="9"/>
      <c r="C15" s="10"/>
      <c r="D15" s="11"/>
      <c r="E15" s="11"/>
    </row>
    <row r="16" spans="3:5" ht="15.75" customHeight="1" hidden="1" thickBot="1">
      <c r="C16" s="12"/>
      <c r="D16" s="12"/>
      <c r="E16" s="12"/>
    </row>
    <row r="17" spans="2:5" ht="15.75" customHeight="1">
      <c r="B17" s="165" t="s">
        <v>5</v>
      </c>
      <c r="C17" s="165"/>
      <c r="D17" s="165"/>
      <c r="E17" s="165"/>
    </row>
    <row r="18" spans="2:5" ht="15.75" customHeight="1">
      <c r="B18" s="13" t="s">
        <v>6</v>
      </c>
      <c r="C18" s="166" t="s">
        <v>7</v>
      </c>
      <c r="D18" s="166"/>
      <c r="E18" s="166"/>
    </row>
    <row r="19" spans="2:5" ht="15.75" customHeight="1">
      <c r="B19" s="14" t="s">
        <v>8</v>
      </c>
      <c r="C19" s="152">
        <f>(C12/44)*40</f>
        <v>967.6454545454545</v>
      </c>
      <c r="D19" s="152"/>
      <c r="E19" s="152"/>
    </row>
    <row r="20" spans="2:5" ht="15.75" customHeight="1">
      <c r="B20" s="14" t="s">
        <v>9</v>
      </c>
      <c r="C20" s="156"/>
      <c r="D20" s="156"/>
      <c r="E20" s="156"/>
    </row>
    <row r="21" spans="2:5" ht="15.75" customHeight="1">
      <c r="B21" s="14" t="s">
        <v>10</v>
      </c>
      <c r="C21" s="156"/>
      <c r="D21" s="156"/>
      <c r="E21" s="156"/>
    </row>
    <row r="22" spans="2:5" ht="15.75" customHeight="1">
      <c r="B22" s="15" t="s">
        <v>107</v>
      </c>
      <c r="C22" s="162"/>
      <c r="D22" s="162"/>
      <c r="E22" s="162"/>
    </row>
    <row r="23" spans="2:5" ht="15.75" customHeight="1">
      <c r="B23" s="15" t="s">
        <v>11</v>
      </c>
      <c r="C23" s="161"/>
      <c r="D23" s="161"/>
      <c r="E23" s="161"/>
    </row>
    <row r="24" spans="2:5" ht="15.75" customHeight="1">
      <c r="B24" s="15" t="s">
        <v>12</v>
      </c>
      <c r="C24" s="161"/>
      <c r="D24" s="161"/>
      <c r="E24" s="161"/>
    </row>
    <row r="25" spans="2:5" ht="15.75" customHeight="1">
      <c r="B25" s="15" t="s">
        <v>13</v>
      </c>
      <c r="C25" s="156"/>
      <c r="D25" s="156"/>
      <c r="E25" s="156"/>
    </row>
    <row r="26" spans="2:5" ht="15.75" customHeight="1">
      <c r="B26" s="15" t="s">
        <v>14</v>
      </c>
      <c r="C26" s="162">
        <f>(41.22/44)*40</f>
        <v>37.47272727272727</v>
      </c>
      <c r="D26" s="162"/>
      <c r="E26" s="162"/>
    </row>
    <row r="27" spans="2:6" ht="15.75" customHeight="1" thickBot="1">
      <c r="B27" s="16" t="s">
        <v>15</v>
      </c>
      <c r="C27" s="163">
        <f>SUM(C19:E26)</f>
        <v>1005.1181818181818</v>
      </c>
      <c r="D27" s="163"/>
      <c r="E27" s="163"/>
      <c r="F27" s="19"/>
    </row>
    <row r="28" spans="2:5" ht="15.75" customHeight="1" thickBot="1">
      <c r="B28" s="164"/>
      <c r="C28" s="164"/>
      <c r="D28" s="164"/>
      <c r="E28" s="164"/>
    </row>
    <row r="29" spans="2:5" ht="15.75" customHeight="1" thickBot="1">
      <c r="B29" s="155" t="s">
        <v>16</v>
      </c>
      <c r="C29" s="155"/>
      <c r="D29" s="155"/>
      <c r="E29" s="155"/>
    </row>
    <row r="30" spans="2:5" ht="15.75" customHeight="1" thickBot="1">
      <c r="B30" s="17" t="s">
        <v>17</v>
      </c>
      <c r="C30" s="159" t="s">
        <v>7</v>
      </c>
      <c r="D30" s="159"/>
      <c r="E30" s="159"/>
    </row>
    <row r="31" spans="2:5" ht="15.75" customHeight="1">
      <c r="B31" s="18" t="s">
        <v>18</v>
      </c>
      <c r="C31" s="160">
        <f>(3.6*2*C11)-(C19*0.06)</f>
        <v>93.2441298701299</v>
      </c>
      <c r="D31" s="160"/>
      <c r="E31" s="160"/>
    </row>
    <row r="32" spans="2:5" ht="15.75" customHeight="1">
      <c r="B32" s="14" t="s">
        <v>19</v>
      </c>
      <c r="C32" s="152">
        <f>(14*0.8*C11)</f>
        <v>235.36000000000004</v>
      </c>
      <c r="D32" s="152"/>
      <c r="E32" s="152"/>
    </row>
    <row r="33" spans="2:5" ht="15.75" customHeight="1">
      <c r="B33" s="14" t="s">
        <v>20</v>
      </c>
      <c r="C33" s="156">
        <v>0</v>
      </c>
      <c r="D33" s="156"/>
      <c r="E33" s="156"/>
    </row>
    <row r="34" spans="2:6" s="21" customFormat="1" ht="15" customHeight="1">
      <c r="B34" s="14" t="s">
        <v>21</v>
      </c>
      <c r="C34" s="156">
        <v>0</v>
      </c>
      <c r="D34" s="156"/>
      <c r="E34" s="156"/>
      <c r="F34" s="22"/>
    </row>
    <row r="35" spans="2:6" s="21" customFormat="1" ht="15" customHeight="1">
      <c r="B35" s="20" t="s">
        <v>22</v>
      </c>
      <c r="C35" s="156">
        <v>22.7</v>
      </c>
      <c r="D35" s="156"/>
      <c r="E35" s="156"/>
      <c r="F35" s="22"/>
    </row>
    <row r="36" spans="2:6" s="21" customFormat="1" ht="15" customHeight="1">
      <c r="B36" s="14" t="s">
        <v>23</v>
      </c>
      <c r="C36" s="156">
        <v>110</v>
      </c>
      <c r="D36" s="156"/>
      <c r="E36" s="156"/>
      <c r="F36" s="22"/>
    </row>
    <row r="37" spans="2:6" s="21" customFormat="1" ht="15" customHeight="1" thickBot="1">
      <c r="B37" s="16" t="s">
        <v>24</v>
      </c>
      <c r="C37" s="153">
        <f>SUM(C31:E36)</f>
        <v>461.30412987012994</v>
      </c>
      <c r="D37" s="153"/>
      <c r="E37" s="153"/>
      <c r="F37" s="22"/>
    </row>
    <row r="38" spans="2:6" s="21" customFormat="1" ht="18.75" customHeight="1" thickBot="1">
      <c r="B38" s="157"/>
      <c r="C38" s="157"/>
      <c r="D38" s="157"/>
      <c r="E38" s="157"/>
      <c r="F38" s="22"/>
    </row>
    <row r="39" spans="2:6" s="21" customFormat="1" ht="13.5" customHeight="1" thickBot="1">
      <c r="B39" s="155" t="s">
        <v>25</v>
      </c>
      <c r="C39" s="155"/>
      <c r="D39" s="155"/>
      <c r="E39" s="155"/>
      <c r="F39" s="22"/>
    </row>
    <row r="40" spans="2:6" s="21" customFormat="1" ht="13.5" customHeight="1" thickBot="1">
      <c r="B40" s="17" t="s">
        <v>26</v>
      </c>
      <c r="C40" s="158" t="s">
        <v>7</v>
      </c>
      <c r="D40" s="158"/>
      <c r="E40" s="158"/>
      <c r="F40" s="22"/>
    </row>
    <row r="41" spans="2:6" s="21" customFormat="1" ht="13.5" customHeight="1">
      <c r="B41" s="23" t="s">
        <v>27</v>
      </c>
      <c r="C41" s="151">
        <f>Uniformes!H12</f>
        <v>78.91</v>
      </c>
      <c r="D41" s="151"/>
      <c r="E41" s="151"/>
      <c r="F41" s="22"/>
    </row>
    <row r="42" spans="2:6" s="21" customFormat="1" ht="13.5" customHeight="1">
      <c r="B42" s="70" t="s">
        <v>129</v>
      </c>
      <c r="C42" s="152">
        <v>0</v>
      </c>
      <c r="D42" s="152"/>
      <c r="E42" s="152"/>
      <c r="F42" s="22"/>
    </row>
    <row r="43" spans="2:6" s="21" customFormat="1" ht="14.25" customHeight="1" thickBot="1">
      <c r="B43" s="24" t="s">
        <v>28</v>
      </c>
      <c r="C43" s="153">
        <f>SUM(C41:E42)</f>
        <v>78.91</v>
      </c>
      <c r="D43" s="153"/>
      <c r="E43" s="153"/>
      <c r="F43" s="22"/>
    </row>
    <row r="44" spans="2:6" s="21" customFormat="1" ht="14.25" customHeight="1" thickBot="1">
      <c r="B44" s="154"/>
      <c r="C44" s="154"/>
      <c r="D44" s="154"/>
      <c r="E44" s="154"/>
      <c r="F44" s="22"/>
    </row>
    <row r="45" spans="2:6" s="21" customFormat="1" ht="14.25" customHeight="1" thickBot="1">
      <c r="B45" s="155" t="s">
        <v>29</v>
      </c>
      <c r="C45" s="155"/>
      <c r="D45" s="155"/>
      <c r="E45" s="155"/>
      <c r="F45" s="22"/>
    </row>
    <row r="46" spans="2:6" s="21" customFormat="1" ht="14.25" customHeight="1" thickBot="1">
      <c r="B46" s="150" t="s">
        <v>30</v>
      </c>
      <c r="C46" s="150"/>
      <c r="D46" s="150"/>
      <c r="E46" s="150"/>
      <c r="F46" s="22"/>
    </row>
    <row r="47" spans="2:6" s="21" customFormat="1" ht="14.25" customHeight="1" thickBot="1">
      <c r="B47" s="25" t="s">
        <v>31</v>
      </c>
      <c r="C47" s="26" t="s">
        <v>32</v>
      </c>
      <c r="D47" s="145" t="s">
        <v>7</v>
      </c>
      <c r="E47" s="145"/>
      <c r="F47" s="22"/>
    </row>
    <row r="48" spans="2:6" s="21" customFormat="1" ht="14.25" customHeight="1">
      <c r="B48" s="27" t="s">
        <v>33</v>
      </c>
      <c r="C48" s="28">
        <v>20</v>
      </c>
      <c r="D48" s="142">
        <f aca="true" t="shared" si="0" ref="D48:D53">$C$27*(C48/100)</f>
        <v>201.02363636363637</v>
      </c>
      <c r="E48" s="142"/>
      <c r="F48" s="22"/>
    </row>
    <row r="49" spans="2:6" s="21" customFormat="1" ht="14.25" customHeight="1">
      <c r="B49" s="29" t="s">
        <v>34</v>
      </c>
      <c r="C49" s="30">
        <v>1.5</v>
      </c>
      <c r="D49" s="149">
        <f t="shared" si="0"/>
        <v>15.076772727272727</v>
      </c>
      <c r="E49" s="149"/>
      <c r="F49" s="22"/>
    </row>
    <row r="50" spans="2:6" s="21" customFormat="1" ht="14.25" customHeight="1">
      <c r="B50" s="29" t="s">
        <v>35</v>
      </c>
      <c r="C50" s="30">
        <v>1</v>
      </c>
      <c r="D50" s="149">
        <f t="shared" si="0"/>
        <v>10.051181818181819</v>
      </c>
      <c r="E50" s="149"/>
      <c r="F50" s="22"/>
    </row>
    <row r="51" spans="2:6" s="21" customFormat="1" ht="14.25" customHeight="1">
      <c r="B51" s="29" t="s">
        <v>36</v>
      </c>
      <c r="C51" s="30">
        <v>0.2</v>
      </c>
      <c r="D51" s="149">
        <f t="shared" si="0"/>
        <v>2.0102363636363636</v>
      </c>
      <c r="E51" s="149"/>
      <c r="F51" s="22"/>
    </row>
    <row r="52" spans="2:6" s="21" customFormat="1" ht="14.25" customHeight="1">
      <c r="B52" s="29" t="s">
        <v>37</v>
      </c>
      <c r="C52" s="30">
        <v>2.5</v>
      </c>
      <c r="D52" s="149">
        <f t="shared" si="0"/>
        <v>25.127954545454546</v>
      </c>
      <c r="E52" s="149"/>
      <c r="F52" s="22"/>
    </row>
    <row r="53" spans="2:6" s="21" customFormat="1" ht="14.25" customHeight="1">
      <c r="B53" s="31" t="s">
        <v>38</v>
      </c>
      <c r="C53" s="32">
        <v>8</v>
      </c>
      <c r="D53" s="139">
        <f t="shared" si="0"/>
        <v>80.40945454545455</v>
      </c>
      <c r="E53" s="139"/>
      <c r="F53" s="22"/>
    </row>
    <row r="54" spans="2:6" s="21" customFormat="1" ht="14.25" customHeight="1">
      <c r="B54" s="31" t="s">
        <v>39</v>
      </c>
      <c r="C54" s="71">
        <v>6</v>
      </c>
      <c r="D54" s="139">
        <f>$C$27*(C54/100)</f>
        <v>60.30709090909091</v>
      </c>
      <c r="E54" s="139"/>
      <c r="F54" s="22"/>
    </row>
    <row r="55" spans="2:6" s="21" customFormat="1" ht="14.25" customHeight="1">
      <c r="B55" s="29" t="s">
        <v>40</v>
      </c>
      <c r="C55" s="30">
        <v>0.6000000000000001</v>
      </c>
      <c r="D55" s="149">
        <f>$C$27*(C55/100)</f>
        <v>6.030709090909092</v>
      </c>
      <c r="E55" s="149"/>
      <c r="F55" s="22"/>
    </row>
    <row r="56" spans="2:6" s="21" customFormat="1" ht="14.25" customHeight="1" thickBot="1">
      <c r="B56" s="33" t="s">
        <v>41</v>
      </c>
      <c r="C56" s="34">
        <f>SUM(C48:C55)</f>
        <v>39.800000000000004</v>
      </c>
      <c r="D56" s="134">
        <f>SUM(D48:E55)</f>
        <v>400.0370363636364</v>
      </c>
      <c r="E56" s="134"/>
      <c r="F56" s="60"/>
    </row>
    <row r="57" spans="2:6" s="21" customFormat="1" ht="14.25" customHeight="1">
      <c r="B57" s="35" t="s">
        <v>42</v>
      </c>
      <c r="C57" s="36"/>
      <c r="D57" s="36"/>
      <c r="E57" s="36"/>
      <c r="F57" s="22"/>
    </row>
    <row r="58" spans="2:8" s="21" customFormat="1" ht="14.25" customHeight="1" thickBot="1">
      <c r="B58" s="37"/>
      <c r="C58" s="36"/>
      <c r="D58" s="36"/>
      <c r="E58" s="36"/>
      <c r="F58" s="22"/>
      <c r="H58" s="61"/>
    </row>
    <row r="59" spans="2:6" s="21" customFormat="1" ht="14.25" customHeight="1" thickBot="1">
      <c r="B59" s="144" t="s">
        <v>43</v>
      </c>
      <c r="C59" s="144"/>
      <c r="D59" s="144"/>
      <c r="E59" s="144"/>
      <c r="F59" s="22"/>
    </row>
    <row r="60" spans="2:6" s="21" customFormat="1" ht="14.25" customHeight="1" thickBot="1">
      <c r="B60" s="25" t="s">
        <v>44</v>
      </c>
      <c r="C60" s="146" t="s">
        <v>7</v>
      </c>
      <c r="D60" s="146"/>
      <c r="E60" s="146"/>
      <c r="F60" s="22"/>
    </row>
    <row r="61" spans="2:6" s="21" customFormat="1" ht="14.25" customHeight="1">
      <c r="B61" s="27" t="s">
        <v>45</v>
      </c>
      <c r="C61" s="142">
        <f>$C$27*0.0833</f>
        <v>83.72634454545455</v>
      </c>
      <c r="D61" s="142"/>
      <c r="E61" s="142"/>
      <c r="F61" s="22"/>
    </row>
    <row r="62" spans="2:6" s="21" customFormat="1" ht="14.25" customHeight="1">
      <c r="B62" s="31" t="s">
        <v>46</v>
      </c>
      <c r="C62" s="139">
        <f>$C$27*0.0278</f>
        <v>27.942285454545452</v>
      </c>
      <c r="D62" s="139"/>
      <c r="E62" s="139"/>
      <c r="F62" s="22"/>
    </row>
    <row r="63" spans="2:6" s="21" customFormat="1" ht="14.25" customHeight="1">
      <c r="B63" s="38" t="s">
        <v>47</v>
      </c>
      <c r="C63" s="148">
        <f>SUM(C61:E62)</f>
        <v>111.66863000000001</v>
      </c>
      <c r="D63" s="148"/>
      <c r="E63" s="148"/>
      <c r="F63" s="22"/>
    </row>
    <row r="64" spans="2:6" s="21" customFormat="1" ht="14.25" customHeight="1">
      <c r="B64" s="31" t="s">
        <v>48</v>
      </c>
      <c r="C64" s="139">
        <f>C63*(C56/100)</f>
        <v>44.44411474</v>
      </c>
      <c r="D64" s="139"/>
      <c r="E64" s="139"/>
      <c r="F64" s="22"/>
    </row>
    <row r="65" spans="2:6" s="21" customFormat="1" ht="14.25" customHeight="1" thickBot="1">
      <c r="B65" s="33" t="s">
        <v>41</v>
      </c>
      <c r="C65" s="134">
        <f>SUM(C63:E64)</f>
        <v>156.11274474</v>
      </c>
      <c r="D65" s="134"/>
      <c r="E65" s="134"/>
      <c r="F65" s="22"/>
    </row>
    <row r="66" spans="2:6" s="21" customFormat="1" ht="14.25" customHeight="1" thickBot="1">
      <c r="B66" s="37"/>
      <c r="C66" s="36"/>
      <c r="D66" s="36"/>
      <c r="E66" s="36"/>
      <c r="F66" s="39"/>
    </row>
    <row r="67" spans="2:6" s="21" customFormat="1" ht="14.25" customHeight="1" thickBot="1">
      <c r="B67" s="144" t="s">
        <v>49</v>
      </c>
      <c r="C67" s="144"/>
      <c r="D67" s="144"/>
      <c r="E67" s="144"/>
      <c r="F67" s="22"/>
    </row>
    <row r="68" spans="2:6" s="21" customFormat="1" ht="14.25" customHeight="1" thickBot="1">
      <c r="B68" s="25" t="s">
        <v>50</v>
      </c>
      <c r="C68" s="146" t="s">
        <v>7</v>
      </c>
      <c r="D68" s="146"/>
      <c r="E68" s="146"/>
      <c r="F68" s="22"/>
    </row>
    <row r="69" spans="2:6" s="21" customFormat="1" ht="14.25" customHeight="1">
      <c r="B69" s="27" t="s">
        <v>51</v>
      </c>
      <c r="C69" s="142">
        <f>(((C61)+(C62)+C35)*4*0.6181*0.0606)/12</f>
        <v>1.6776756541006</v>
      </c>
      <c r="D69" s="142"/>
      <c r="E69" s="142"/>
      <c r="F69" s="22"/>
    </row>
    <row r="70" spans="2:6" s="21" customFormat="1" ht="14.25" customHeight="1">
      <c r="B70" s="31" t="s">
        <v>52</v>
      </c>
      <c r="C70" s="139">
        <f>C69*(C56/100)</f>
        <v>0.6677149103320388</v>
      </c>
      <c r="D70" s="139"/>
      <c r="E70" s="139"/>
      <c r="F70" s="22"/>
    </row>
    <row r="71" spans="2:6" s="21" customFormat="1" ht="14.25" customHeight="1" thickBot="1">
      <c r="B71" s="33" t="s">
        <v>41</v>
      </c>
      <c r="C71" s="147">
        <f>SUM(C69:E70)</f>
        <v>2.3453905644326385</v>
      </c>
      <c r="D71" s="147"/>
      <c r="E71" s="147"/>
      <c r="F71" s="22"/>
    </row>
    <row r="72" spans="2:12" s="21" customFormat="1" ht="14.25" customHeight="1" thickBot="1">
      <c r="B72" s="37"/>
      <c r="C72" s="36"/>
      <c r="D72" s="36"/>
      <c r="E72" s="36"/>
      <c r="F72" s="22"/>
      <c r="L72"/>
    </row>
    <row r="73" spans="2:6" s="21" customFormat="1" ht="14.25" customHeight="1" thickBot="1">
      <c r="B73" s="144" t="s">
        <v>53</v>
      </c>
      <c r="C73" s="144"/>
      <c r="D73" s="144"/>
      <c r="E73" s="144"/>
      <c r="F73" s="22"/>
    </row>
    <row r="74" spans="2:6" s="21" customFormat="1" ht="14.25" customHeight="1" thickBot="1">
      <c r="B74" s="25" t="s">
        <v>54</v>
      </c>
      <c r="C74" s="146" t="s">
        <v>7</v>
      </c>
      <c r="D74" s="146"/>
      <c r="E74" s="146"/>
      <c r="F74" s="22"/>
    </row>
    <row r="75" spans="2:6" s="21" customFormat="1" ht="14.25" customHeight="1">
      <c r="B75" s="27" t="s">
        <v>55</v>
      </c>
      <c r="C75" s="142">
        <f>C27*(0.05*(1/12))</f>
        <v>4.187992424242424</v>
      </c>
      <c r="D75" s="142"/>
      <c r="E75" s="142"/>
      <c r="F75" s="22"/>
    </row>
    <row r="76" spans="2:6" s="21" customFormat="1" ht="14.25" customHeight="1">
      <c r="B76" s="31" t="s">
        <v>56</v>
      </c>
      <c r="C76" s="139">
        <f>C75*(C56/100)</f>
        <v>1.6668209848484847</v>
      </c>
      <c r="D76" s="139"/>
      <c r="E76" s="139"/>
      <c r="F76" s="39"/>
    </row>
    <row r="77" spans="2:6" s="21" customFormat="1" ht="14.25" customHeight="1">
      <c r="B77" s="31" t="s">
        <v>57</v>
      </c>
      <c r="C77" s="139">
        <f>$C$27*(0.08*0.5*0.05)</f>
        <v>2.0102363636363636</v>
      </c>
      <c r="D77" s="139"/>
      <c r="E77" s="139"/>
      <c r="F77" s="22"/>
    </row>
    <row r="78" spans="2:6" s="21" customFormat="1" ht="14.25" customHeight="1">
      <c r="B78" s="31" t="s">
        <v>58</v>
      </c>
      <c r="C78" s="139">
        <f>C27*0.01944</f>
        <v>19.539497454545458</v>
      </c>
      <c r="D78" s="139"/>
      <c r="E78" s="139"/>
      <c r="F78" s="22"/>
    </row>
    <row r="79" spans="2:6" s="21" customFormat="1" ht="14.25" customHeight="1">
      <c r="B79" s="31" t="s">
        <v>59</v>
      </c>
      <c r="C79" s="139">
        <f>C78*(C56/100)</f>
        <v>7.776719986909093</v>
      </c>
      <c r="D79" s="139"/>
      <c r="E79" s="139"/>
      <c r="F79" s="22"/>
    </row>
    <row r="80" spans="2:6" s="40" customFormat="1" ht="15" customHeight="1">
      <c r="B80" s="31" t="s">
        <v>60</v>
      </c>
      <c r="C80" s="139">
        <f>$C$27*(0.08*0.5)</f>
        <v>40.204727272727276</v>
      </c>
      <c r="D80" s="139"/>
      <c r="E80" s="139"/>
      <c r="F80" s="42"/>
    </row>
    <row r="81" spans="2:6" s="21" customFormat="1" ht="15" customHeight="1" thickBot="1">
      <c r="B81" s="33" t="s">
        <v>41</v>
      </c>
      <c r="C81" s="134">
        <f>SUM(C75:E80)</f>
        <v>75.3859944869091</v>
      </c>
      <c r="D81" s="134"/>
      <c r="E81" s="134"/>
      <c r="F81" s="22"/>
    </row>
    <row r="82" spans="2:6" s="21" customFormat="1" ht="15" customHeight="1" thickBot="1">
      <c r="B82" s="37"/>
      <c r="C82" s="36"/>
      <c r="D82" s="36"/>
      <c r="E82" s="36"/>
      <c r="F82" s="22"/>
    </row>
    <row r="83" spans="2:6" s="21" customFormat="1" ht="15" customHeight="1" thickBot="1">
      <c r="B83" s="144" t="s">
        <v>61</v>
      </c>
      <c r="C83" s="144"/>
      <c r="D83" s="144"/>
      <c r="E83" s="144"/>
      <c r="F83" s="22"/>
    </row>
    <row r="84" spans="2:5" s="21" customFormat="1" ht="15" customHeight="1" thickBot="1">
      <c r="B84" s="25" t="s">
        <v>62</v>
      </c>
      <c r="C84" s="145" t="s">
        <v>7</v>
      </c>
      <c r="D84" s="145"/>
      <c r="E84" s="145"/>
    </row>
    <row r="85" spans="2:5" s="21" customFormat="1" ht="15" customHeight="1">
      <c r="B85" s="41" t="s">
        <v>63</v>
      </c>
      <c r="C85" s="142">
        <f>C27*0.0833</f>
        <v>83.72634454545455</v>
      </c>
      <c r="D85" s="142"/>
      <c r="E85" s="142"/>
    </row>
    <row r="86" spans="1:5" s="21" customFormat="1" ht="15" customHeight="1">
      <c r="A86" s="44"/>
      <c r="B86" s="31" t="s">
        <v>64</v>
      </c>
      <c r="C86" s="139">
        <f>C27*0.0166</f>
        <v>16.68496181818182</v>
      </c>
      <c r="D86" s="139"/>
      <c r="E86" s="139"/>
    </row>
    <row r="87" spans="1:5" s="21" customFormat="1" ht="15" customHeight="1">
      <c r="A87" s="44"/>
      <c r="B87" s="31" t="s">
        <v>65</v>
      </c>
      <c r="C87" s="139">
        <f>C27*0.0002</f>
        <v>0.20102363636363638</v>
      </c>
      <c r="D87" s="139"/>
      <c r="E87" s="139"/>
    </row>
    <row r="88" spans="2:5" s="40" customFormat="1" ht="15" customHeight="1">
      <c r="B88" s="31" t="s">
        <v>66</v>
      </c>
      <c r="C88" s="139">
        <f>C27*((2.96/30)/12)</f>
        <v>8.264305050505051</v>
      </c>
      <c r="D88" s="139"/>
      <c r="E88" s="139"/>
    </row>
    <row r="89" spans="2:5" s="40" customFormat="1" ht="15" customHeight="1">
      <c r="B89" s="31" t="s">
        <v>67</v>
      </c>
      <c r="C89" s="139">
        <f>C27*0.0003</f>
        <v>0.3015354545454545</v>
      </c>
      <c r="D89" s="139"/>
      <c r="E89" s="139"/>
    </row>
    <row r="90" spans="2:5" s="40" customFormat="1" ht="15" customHeight="1">
      <c r="B90" s="43" t="s">
        <v>68</v>
      </c>
      <c r="C90" s="139">
        <v>0</v>
      </c>
      <c r="D90" s="139"/>
      <c r="E90" s="139"/>
    </row>
    <row r="91" spans="2:5" s="40" customFormat="1" ht="15" customHeight="1">
      <c r="B91" s="31" t="s">
        <v>69</v>
      </c>
      <c r="C91" s="139">
        <f>SUM(C85:E90)*(C56/100)</f>
        <v>43.45291186101011</v>
      </c>
      <c r="D91" s="139"/>
      <c r="E91" s="139"/>
    </row>
    <row r="92" spans="2:5" s="40" customFormat="1" ht="15" customHeight="1" thickBot="1">
      <c r="B92" s="33" t="s">
        <v>41</v>
      </c>
      <c r="C92" s="134">
        <f>SUM(C85:E91)</f>
        <v>152.63108236606064</v>
      </c>
      <c r="D92" s="134"/>
      <c r="E92" s="134"/>
    </row>
    <row r="93" s="40" customFormat="1" ht="15" customHeight="1" thickBot="1">
      <c r="B93" s="45"/>
    </row>
    <row r="94" spans="2:5" s="40" customFormat="1" ht="15" customHeight="1" thickBot="1">
      <c r="B94" s="143" t="s">
        <v>70</v>
      </c>
      <c r="C94" s="143"/>
      <c r="D94" s="143"/>
      <c r="E94" s="143"/>
    </row>
    <row r="95" spans="2:5" s="40" customFormat="1" ht="15" customHeight="1" thickBot="1">
      <c r="B95" s="46" t="s">
        <v>71</v>
      </c>
      <c r="C95" s="141" t="s">
        <v>7</v>
      </c>
      <c r="D95" s="141"/>
      <c r="E95" s="141"/>
    </row>
    <row r="96" spans="2:5" s="40" customFormat="1" ht="15" customHeight="1">
      <c r="B96" s="41" t="s">
        <v>72</v>
      </c>
      <c r="C96" s="142">
        <f>D56</f>
        <v>400.0370363636364</v>
      </c>
      <c r="D96" s="142"/>
      <c r="E96" s="142"/>
    </row>
    <row r="97" spans="2:6" s="40" customFormat="1" ht="15" customHeight="1">
      <c r="B97" s="47" t="s">
        <v>73</v>
      </c>
      <c r="C97" s="139">
        <f>C65</f>
        <v>156.11274474</v>
      </c>
      <c r="D97" s="139"/>
      <c r="E97" s="139"/>
      <c r="F97" s="49"/>
    </row>
    <row r="98" spans="2:5" s="40" customFormat="1" ht="15" customHeight="1">
      <c r="B98" s="47" t="s">
        <v>74</v>
      </c>
      <c r="C98" s="139">
        <f>C71</f>
        <v>2.3453905644326385</v>
      </c>
      <c r="D98" s="139"/>
      <c r="E98" s="139"/>
    </row>
    <row r="99" spans="2:5" s="40" customFormat="1" ht="15" customHeight="1">
      <c r="B99" s="47" t="s">
        <v>75</v>
      </c>
      <c r="C99" s="139">
        <f>C81</f>
        <v>75.3859944869091</v>
      </c>
      <c r="D99" s="139"/>
      <c r="E99" s="139"/>
    </row>
    <row r="100" spans="2:5" s="40" customFormat="1" ht="15" customHeight="1">
      <c r="B100" s="47" t="s">
        <v>76</v>
      </c>
      <c r="C100" s="139">
        <f>C92</f>
        <v>152.63108236606064</v>
      </c>
      <c r="D100" s="139"/>
      <c r="E100" s="139"/>
    </row>
    <row r="101" spans="2:10" s="40" customFormat="1" ht="15" customHeight="1">
      <c r="B101" s="47" t="s">
        <v>77</v>
      </c>
      <c r="C101" s="139"/>
      <c r="D101" s="139"/>
      <c r="E101" s="139"/>
      <c r="J101" s="72"/>
    </row>
    <row r="102" spans="2:10" s="40" customFormat="1" ht="15" customHeight="1" thickBot="1">
      <c r="B102" s="48" t="s">
        <v>41</v>
      </c>
      <c r="C102" s="134">
        <f>SUM(C96:E101)</f>
        <v>786.5122485210388</v>
      </c>
      <c r="D102" s="134"/>
      <c r="E102" s="134"/>
      <c r="J102" s="61"/>
    </row>
    <row r="103" spans="2:10" s="40" customFormat="1" ht="15" customHeight="1" thickBot="1">
      <c r="B103" s="45"/>
      <c r="J103" s="61"/>
    </row>
    <row r="104" spans="2:5" s="40" customFormat="1" ht="15" customHeight="1" thickBot="1">
      <c r="B104" s="140" t="s">
        <v>78</v>
      </c>
      <c r="C104" s="140"/>
      <c r="D104" s="140"/>
      <c r="E104" s="140"/>
    </row>
    <row r="105" spans="2:5" s="40" customFormat="1" ht="15" customHeight="1" thickBot="1">
      <c r="B105" s="46" t="s">
        <v>79</v>
      </c>
      <c r="C105" s="50" t="s">
        <v>32</v>
      </c>
      <c r="D105" s="141" t="s">
        <v>7</v>
      </c>
      <c r="E105" s="141"/>
    </row>
    <row r="106" spans="2:5" s="40" customFormat="1" ht="15" customHeight="1">
      <c r="B106" s="81" t="s">
        <v>80</v>
      </c>
      <c r="C106" s="82">
        <f>'Custos Indiretos e Lucro'!E3</f>
        <v>0.06</v>
      </c>
      <c r="D106" s="142">
        <f>(C102+C43+C37+C27)*C106</f>
        <v>139.91067361256103</v>
      </c>
      <c r="E106" s="142"/>
    </row>
    <row r="107" spans="2:5" s="40" customFormat="1" ht="15" customHeight="1">
      <c r="B107" s="79" t="s">
        <v>81</v>
      </c>
      <c r="C107" s="83"/>
      <c r="D107" s="139"/>
      <c r="E107" s="139"/>
    </row>
    <row r="108" spans="2:5" s="40" customFormat="1" ht="15" customHeight="1">
      <c r="B108" s="79" t="s">
        <v>82</v>
      </c>
      <c r="C108" s="84">
        <f>7.6+1.65</f>
        <v>9.25</v>
      </c>
      <c r="D108" s="139">
        <f>((C102+C43+C37+C27+D106+D112)/(1-(C108+C110)/100))*(C108/100)</f>
        <v>278.8975832634858</v>
      </c>
      <c r="E108" s="139"/>
    </row>
    <row r="109" spans="2:5" s="40" customFormat="1" ht="15" customHeight="1">
      <c r="B109" s="79" t="s">
        <v>83</v>
      </c>
      <c r="C109" s="83"/>
      <c r="D109" s="139"/>
      <c r="E109" s="139"/>
    </row>
    <row r="110" spans="2:5" s="40" customFormat="1" ht="15" customHeight="1">
      <c r="B110" s="79" t="s">
        <v>153</v>
      </c>
      <c r="C110" s="84">
        <v>5</v>
      </c>
      <c r="D110" s="139">
        <f>((C102+C43+C37+C27+D106+D112)/(1-(C108+C110)/100))*(C110/100)</f>
        <v>150.755450412695</v>
      </c>
      <c r="E110" s="139"/>
    </row>
    <row r="111" spans="2:5" s="40" customFormat="1" ht="15" customHeight="1">
      <c r="B111" s="79" t="s">
        <v>84</v>
      </c>
      <c r="C111" s="83"/>
      <c r="D111" s="139"/>
      <c r="E111" s="139"/>
    </row>
    <row r="112" spans="2:5" s="40" customFormat="1" ht="15" customHeight="1">
      <c r="B112" s="79" t="s">
        <v>85</v>
      </c>
      <c r="C112" s="80">
        <f>'Custos Indiretos e Lucro'!E4</f>
        <v>0.046000000000000006</v>
      </c>
      <c r="D112" s="139">
        <f>(C102+C43+C37+C27+D106)*C112</f>
        <v>113.70074075580794</v>
      </c>
      <c r="E112" s="139"/>
    </row>
    <row r="113" spans="2:5" s="40" customFormat="1" ht="15" customHeight="1" thickBot="1">
      <c r="B113" s="48" t="s">
        <v>41</v>
      </c>
      <c r="C113" s="51">
        <f>SUM(C106:C112)</f>
        <v>14.356</v>
      </c>
      <c r="D113" s="134">
        <f>SUM(D106:E112)</f>
        <v>683.2644480445498</v>
      </c>
      <c r="E113" s="134"/>
    </row>
    <row r="114" s="40" customFormat="1" ht="15" customHeight="1">
      <c r="B114" s="45"/>
    </row>
    <row r="115" spans="2:5" s="40" customFormat="1" ht="15" customHeight="1">
      <c r="B115" s="135" t="s">
        <v>86</v>
      </c>
      <c r="C115" s="135"/>
      <c r="D115" s="135"/>
      <c r="E115" s="135"/>
    </row>
    <row r="116" spans="2:5" s="40" customFormat="1" ht="15" customHeight="1">
      <c r="B116" s="136" t="s">
        <v>87</v>
      </c>
      <c r="C116" s="136"/>
      <c r="D116" s="136"/>
      <c r="E116" s="136"/>
    </row>
    <row r="117" s="40" customFormat="1" ht="15" customHeight="1" thickBot="1">
      <c r="B117" s="45"/>
    </row>
    <row r="118" spans="2:5" s="40" customFormat="1" ht="15" customHeight="1" thickBot="1">
      <c r="B118" s="69" t="s">
        <v>88</v>
      </c>
      <c r="C118" s="137" t="s">
        <v>7</v>
      </c>
      <c r="D118" s="137"/>
      <c r="E118" s="137"/>
    </row>
    <row r="119" spans="2:5" s="40" customFormat="1" ht="15" customHeight="1">
      <c r="B119" s="41" t="s">
        <v>89</v>
      </c>
      <c r="C119" s="138">
        <f>C27</f>
        <v>1005.1181818181818</v>
      </c>
      <c r="D119" s="138"/>
      <c r="E119" s="138"/>
    </row>
    <row r="120" spans="2:5" s="40" customFormat="1" ht="15" customHeight="1">
      <c r="B120" s="47" t="s">
        <v>90</v>
      </c>
      <c r="C120" s="130">
        <f>C37</f>
        <v>461.30412987012994</v>
      </c>
      <c r="D120" s="130"/>
      <c r="E120" s="130"/>
    </row>
    <row r="121" spans="2:5" s="40" customFormat="1" ht="15" customHeight="1">
      <c r="B121" s="47" t="s">
        <v>91</v>
      </c>
      <c r="C121" s="130">
        <f>C43</f>
        <v>78.91</v>
      </c>
      <c r="D121" s="130"/>
      <c r="E121" s="130"/>
    </row>
    <row r="122" spans="2:5" s="40" customFormat="1" ht="15" customHeight="1">
      <c r="B122" s="47" t="s">
        <v>92</v>
      </c>
      <c r="C122" s="130">
        <f>C102</f>
        <v>786.5122485210388</v>
      </c>
      <c r="D122" s="130"/>
      <c r="E122" s="130"/>
    </row>
    <row r="123" spans="2:5" s="40" customFormat="1" ht="15" customHeight="1">
      <c r="B123" s="52" t="s">
        <v>93</v>
      </c>
      <c r="C123" s="131">
        <f>SUM(C119:E122)</f>
        <v>2331.8445602093507</v>
      </c>
      <c r="D123" s="131"/>
      <c r="E123" s="131"/>
    </row>
    <row r="124" spans="2:5" s="40" customFormat="1" ht="15" customHeight="1">
      <c r="B124" s="47" t="s">
        <v>94</v>
      </c>
      <c r="C124" s="130">
        <f>D113</f>
        <v>683.2644480445498</v>
      </c>
      <c r="D124" s="130"/>
      <c r="E124" s="130"/>
    </row>
    <row r="125" spans="2:5" ht="13.5" thickBot="1">
      <c r="B125" s="48" t="s">
        <v>95</v>
      </c>
      <c r="C125" s="132">
        <f>SUM(C123:E124)</f>
        <v>3015.1090082539004</v>
      </c>
      <c r="D125" s="132"/>
      <c r="E125" s="132"/>
    </row>
    <row r="126" spans="2:5" ht="13.5" thickBot="1">
      <c r="B126" s="53" t="s">
        <v>96</v>
      </c>
      <c r="C126" s="133">
        <f>C125/C27</f>
        <v>2.9997557131041037</v>
      </c>
      <c r="D126" s="133"/>
      <c r="E126" s="133"/>
    </row>
    <row r="127" spans="2:5" ht="15.75">
      <c r="B127" s="45"/>
      <c r="C127" s="40"/>
      <c r="D127" s="40"/>
      <c r="E127" s="40"/>
    </row>
  </sheetData>
  <sheetProtection selectLockedCells="1" selectUnlockedCells="1"/>
  <mergeCells count="113">
    <mergeCell ref="C122:E122"/>
    <mergeCell ref="C123:E123"/>
    <mergeCell ref="C124:E124"/>
    <mergeCell ref="C125:E125"/>
    <mergeCell ref="C126:E126"/>
    <mergeCell ref="B115:E115"/>
    <mergeCell ref="B116:E116"/>
    <mergeCell ref="C118:E118"/>
    <mergeCell ref="C119:E119"/>
    <mergeCell ref="C120:E120"/>
    <mergeCell ref="C121:E121"/>
    <mergeCell ref="D108:E108"/>
    <mergeCell ref="D109:E109"/>
    <mergeCell ref="D110:E110"/>
    <mergeCell ref="D111:E111"/>
    <mergeCell ref="D112:E112"/>
    <mergeCell ref="D113:E113"/>
    <mergeCell ref="C101:E101"/>
    <mergeCell ref="C102:E102"/>
    <mergeCell ref="B104:E104"/>
    <mergeCell ref="D105:E105"/>
    <mergeCell ref="D106:E106"/>
    <mergeCell ref="D107:E107"/>
    <mergeCell ref="C95:E95"/>
    <mergeCell ref="C96:E96"/>
    <mergeCell ref="C97:E97"/>
    <mergeCell ref="C98:E98"/>
    <mergeCell ref="C99:E99"/>
    <mergeCell ref="C100:E100"/>
    <mergeCell ref="C88:E88"/>
    <mergeCell ref="C89:E89"/>
    <mergeCell ref="C90:E90"/>
    <mergeCell ref="C91:E91"/>
    <mergeCell ref="C92:E92"/>
    <mergeCell ref="B94:E94"/>
    <mergeCell ref="C81:E81"/>
    <mergeCell ref="B83:E83"/>
    <mergeCell ref="C84:E84"/>
    <mergeCell ref="C85:E85"/>
    <mergeCell ref="C86:E86"/>
    <mergeCell ref="C87:E87"/>
    <mergeCell ref="C75:E75"/>
    <mergeCell ref="C76:E76"/>
    <mergeCell ref="C77:E77"/>
    <mergeCell ref="C78:E78"/>
    <mergeCell ref="C79:E79"/>
    <mergeCell ref="C80:E80"/>
    <mergeCell ref="C68:E68"/>
    <mergeCell ref="C69:E69"/>
    <mergeCell ref="C70:E70"/>
    <mergeCell ref="C71:E71"/>
    <mergeCell ref="B73:E73"/>
    <mergeCell ref="C74:E74"/>
    <mergeCell ref="C61:E61"/>
    <mergeCell ref="C62:E62"/>
    <mergeCell ref="C63:E63"/>
    <mergeCell ref="C64:E64"/>
    <mergeCell ref="C65:E65"/>
    <mergeCell ref="B67:E67"/>
    <mergeCell ref="D53:E53"/>
    <mergeCell ref="D54:E54"/>
    <mergeCell ref="D55:E55"/>
    <mergeCell ref="D56:E56"/>
    <mergeCell ref="B59:E59"/>
    <mergeCell ref="C60:E60"/>
    <mergeCell ref="D47:E47"/>
    <mergeCell ref="D48:E48"/>
    <mergeCell ref="D49:E49"/>
    <mergeCell ref="D50:E50"/>
    <mergeCell ref="D51:E51"/>
    <mergeCell ref="D52:E52"/>
    <mergeCell ref="C41:E41"/>
    <mergeCell ref="C42:E42"/>
    <mergeCell ref="C43:E43"/>
    <mergeCell ref="B44:E44"/>
    <mergeCell ref="B45:E45"/>
    <mergeCell ref="B46:E46"/>
    <mergeCell ref="C35:E35"/>
    <mergeCell ref="C36:E36"/>
    <mergeCell ref="C37:E37"/>
    <mergeCell ref="B38:E38"/>
    <mergeCell ref="B39:E39"/>
    <mergeCell ref="C40:E40"/>
    <mergeCell ref="B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B28:E28"/>
    <mergeCell ref="B17:E17"/>
    <mergeCell ref="C18:E18"/>
    <mergeCell ref="C19:E19"/>
    <mergeCell ref="C20:E20"/>
    <mergeCell ref="C21:E21"/>
    <mergeCell ref="C22:E22"/>
    <mergeCell ref="B9:E9"/>
    <mergeCell ref="C10:E10"/>
    <mergeCell ref="C11:E11"/>
    <mergeCell ref="C12:E12"/>
    <mergeCell ref="C13:E13"/>
    <mergeCell ref="C14:E14"/>
    <mergeCell ref="B1:E1"/>
    <mergeCell ref="C3:E3"/>
    <mergeCell ref="C5:E5"/>
    <mergeCell ref="C6:E6"/>
    <mergeCell ref="C7:E7"/>
    <mergeCell ref="C8:E8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72" r:id="rId3"/>
  <headerFooter alignWithMargins="0">
    <oddHeader>&amp;C&amp;"Times New Roman,Normal"&amp;12&amp;A</oddHeader>
    <oddFooter>&amp;C&amp;"Times New Roman,Normal"&amp;12Página &amp;P</oddFooter>
  </headerFooter>
  <colBreaks count="1" manualBreakCount="1">
    <brk id="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SheetLayoutView="100" zoomScalePageLayoutView="0" workbookViewId="0" topLeftCell="A1">
      <selection activeCell="F18" sqref="F18"/>
    </sheetView>
  </sheetViews>
  <sheetFormatPr defaultColWidth="11.421875" defaultRowHeight="12.75"/>
  <cols>
    <col min="1" max="1" width="3.421875" style="1" customWidth="1"/>
    <col min="2" max="2" width="65.7109375" style="1" customWidth="1"/>
    <col min="3" max="3" width="15.57421875" style="1" customWidth="1"/>
    <col min="4" max="4" width="15.7109375" style="1" customWidth="1"/>
    <col min="5" max="5" width="22.8515625" style="1" customWidth="1"/>
    <col min="6" max="6" width="20.57421875" style="2" customWidth="1"/>
    <col min="7" max="8" width="11.421875" style="1" customWidth="1"/>
    <col min="9" max="9" width="16.8515625" style="1" bestFit="1" customWidth="1"/>
    <col min="10" max="10" width="28.00390625" style="1" customWidth="1"/>
    <col min="11" max="11" width="16.57421875" style="1" bestFit="1" customWidth="1"/>
    <col min="12" max="16384" width="11.421875" style="1" customWidth="1"/>
  </cols>
  <sheetData>
    <row r="1" spans="2:5" ht="39" customHeight="1">
      <c r="B1" s="173" t="s">
        <v>159</v>
      </c>
      <c r="C1" s="173"/>
      <c r="D1" s="173"/>
      <c r="E1" s="173"/>
    </row>
    <row r="2" spans="2:5" ht="17.25" customHeight="1" thickBot="1">
      <c r="B2" s="3"/>
      <c r="C2" s="4"/>
      <c r="D2" s="4"/>
      <c r="E2" s="4"/>
    </row>
    <row r="3" spans="2:5" ht="17.25" customHeight="1" thickBot="1">
      <c r="B3" s="68" t="s">
        <v>0</v>
      </c>
      <c r="C3" s="174" t="s">
        <v>131</v>
      </c>
      <c r="D3" s="174"/>
      <c r="E3" s="174"/>
    </row>
    <row r="4" spans="2:5" ht="17.25" customHeight="1" thickBot="1">
      <c r="B4" s="3"/>
      <c r="C4" s="4"/>
      <c r="D4" s="4"/>
      <c r="E4" s="4"/>
    </row>
    <row r="5" spans="2:5" ht="17.25" customHeight="1">
      <c r="B5" s="85" t="s">
        <v>114</v>
      </c>
      <c r="C5" s="175" t="s">
        <v>118</v>
      </c>
      <c r="D5" s="176"/>
      <c r="E5" s="177"/>
    </row>
    <row r="6" spans="2:5" ht="15.75" customHeight="1">
      <c r="B6" s="86" t="s">
        <v>115</v>
      </c>
      <c r="C6" s="178" t="s">
        <v>156</v>
      </c>
      <c r="D6" s="179"/>
      <c r="E6" s="180"/>
    </row>
    <row r="7" spans="2:5" ht="15.75" customHeight="1">
      <c r="B7" s="86" t="s">
        <v>116</v>
      </c>
      <c r="C7" s="178" t="s">
        <v>126</v>
      </c>
      <c r="D7" s="179"/>
      <c r="E7" s="180"/>
    </row>
    <row r="8" spans="2:5" ht="15.75" customHeight="1" thickBot="1">
      <c r="B8" s="87" t="s">
        <v>117</v>
      </c>
      <c r="C8" s="181">
        <v>12</v>
      </c>
      <c r="D8" s="182"/>
      <c r="E8" s="183"/>
    </row>
    <row r="9" spans="2:5" ht="16.5" customHeight="1" thickBot="1">
      <c r="B9" s="167"/>
      <c r="C9" s="167"/>
      <c r="D9" s="167"/>
      <c r="E9" s="167"/>
    </row>
    <row r="10" spans="2:5" ht="15.75" customHeight="1">
      <c r="B10" s="5" t="s">
        <v>1</v>
      </c>
      <c r="C10" s="168" t="s">
        <v>132</v>
      </c>
      <c r="D10" s="168"/>
      <c r="E10" s="168"/>
    </row>
    <row r="11" spans="2:5" ht="15.75" customHeight="1">
      <c r="B11" s="6" t="s">
        <v>2</v>
      </c>
      <c r="C11" s="169">
        <f>30.42*(5/7)-(12*(5/7))/12</f>
        <v>21.014285714285716</v>
      </c>
      <c r="D11" s="169"/>
      <c r="E11" s="169"/>
    </row>
    <row r="12" spans="2:5" ht="12" customHeight="1">
      <c r="B12" s="7" t="s">
        <v>133</v>
      </c>
      <c r="C12" s="170">
        <v>1064.41</v>
      </c>
      <c r="D12" s="170"/>
      <c r="E12" s="170"/>
    </row>
    <row r="13" spans="2:5" ht="23.25" customHeight="1">
      <c r="B13" s="7" t="s">
        <v>3</v>
      </c>
      <c r="C13" s="171" t="s">
        <v>134</v>
      </c>
      <c r="D13" s="171"/>
      <c r="E13" s="171"/>
    </row>
    <row r="14" spans="2:5" ht="15.75" customHeight="1" thickBot="1">
      <c r="B14" s="8" t="s">
        <v>4</v>
      </c>
      <c r="C14" s="172">
        <v>42736</v>
      </c>
      <c r="D14" s="172"/>
      <c r="E14" s="172"/>
    </row>
    <row r="15" spans="2:5" ht="15" customHeight="1" thickBot="1">
      <c r="B15" s="9"/>
      <c r="C15" s="10"/>
      <c r="D15" s="11"/>
      <c r="E15" s="11"/>
    </row>
    <row r="16" spans="3:5" ht="15.75" customHeight="1" hidden="1" thickBot="1">
      <c r="C16" s="12"/>
      <c r="D16" s="12"/>
      <c r="E16" s="12"/>
    </row>
    <row r="17" spans="2:5" ht="15.75" customHeight="1">
      <c r="B17" s="165" t="s">
        <v>5</v>
      </c>
      <c r="C17" s="165"/>
      <c r="D17" s="165"/>
      <c r="E17" s="165"/>
    </row>
    <row r="18" spans="2:5" ht="15.75" customHeight="1">
      <c r="B18" s="13" t="s">
        <v>6</v>
      </c>
      <c r="C18" s="166" t="s">
        <v>7</v>
      </c>
      <c r="D18" s="166"/>
      <c r="E18" s="166"/>
    </row>
    <row r="19" spans="2:5" ht="15.75" customHeight="1">
      <c r="B19" s="14" t="s">
        <v>8</v>
      </c>
      <c r="C19" s="152">
        <f>(C12/44)*40</f>
        <v>967.6454545454545</v>
      </c>
      <c r="D19" s="152"/>
      <c r="E19" s="152"/>
    </row>
    <row r="20" spans="2:5" ht="15.75" customHeight="1">
      <c r="B20" s="14" t="s">
        <v>9</v>
      </c>
      <c r="C20" s="156"/>
      <c r="D20" s="156"/>
      <c r="E20" s="156"/>
    </row>
    <row r="21" spans="2:5" ht="15.75" customHeight="1">
      <c r="B21" s="14" t="s">
        <v>10</v>
      </c>
      <c r="C21" s="156"/>
      <c r="D21" s="156"/>
      <c r="E21" s="156"/>
    </row>
    <row r="22" spans="2:5" ht="15.75" customHeight="1">
      <c r="B22" s="15" t="s">
        <v>107</v>
      </c>
      <c r="C22" s="162"/>
      <c r="D22" s="162"/>
      <c r="E22" s="162"/>
    </row>
    <row r="23" spans="2:5" ht="15.75" customHeight="1">
      <c r="B23" s="15" t="s">
        <v>11</v>
      </c>
      <c r="C23" s="161"/>
      <c r="D23" s="161"/>
      <c r="E23" s="161"/>
    </row>
    <row r="24" spans="2:5" ht="15.75" customHeight="1">
      <c r="B24" s="15" t="s">
        <v>12</v>
      </c>
      <c r="C24" s="161"/>
      <c r="D24" s="161"/>
      <c r="E24" s="161"/>
    </row>
    <row r="25" spans="2:5" ht="15.75" customHeight="1">
      <c r="B25" s="15" t="s">
        <v>13</v>
      </c>
      <c r="C25" s="156"/>
      <c r="D25" s="156"/>
      <c r="E25" s="156"/>
    </row>
    <row r="26" spans="2:5" ht="15.75" customHeight="1">
      <c r="B26" s="15" t="s">
        <v>14</v>
      </c>
      <c r="C26" s="162">
        <f>(41.22/44)*40</f>
        <v>37.47272727272727</v>
      </c>
      <c r="D26" s="162"/>
      <c r="E26" s="162"/>
    </row>
    <row r="27" spans="2:6" ht="15.75" customHeight="1" thickBot="1">
      <c r="B27" s="16" t="s">
        <v>15</v>
      </c>
      <c r="C27" s="163">
        <f>SUM(C19:E26)</f>
        <v>1005.1181818181818</v>
      </c>
      <c r="D27" s="163"/>
      <c r="E27" s="163"/>
      <c r="F27" s="19"/>
    </row>
    <row r="28" spans="2:5" ht="15.75" customHeight="1" thickBot="1">
      <c r="B28" s="164"/>
      <c r="C28" s="164"/>
      <c r="D28" s="164"/>
      <c r="E28" s="164"/>
    </row>
    <row r="29" spans="2:5" ht="15.75" customHeight="1" thickBot="1">
      <c r="B29" s="155" t="s">
        <v>16</v>
      </c>
      <c r="C29" s="155"/>
      <c r="D29" s="155"/>
      <c r="E29" s="155"/>
    </row>
    <row r="30" spans="2:5" ht="15.75" customHeight="1" thickBot="1">
      <c r="B30" s="17" t="s">
        <v>17</v>
      </c>
      <c r="C30" s="159" t="s">
        <v>7</v>
      </c>
      <c r="D30" s="159"/>
      <c r="E30" s="159"/>
    </row>
    <row r="31" spans="2:5" ht="15.75" customHeight="1">
      <c r="B31" s="18" t="s">
        <v>18</v>
      </c>
      <c r="C31" s="160">
        <f>(3.2*2*C11)-(C19*0.06)</f>
        <v>76.43270129870133</v>
      </c>
      <c r="D31" s="160"/>
      <c r="E31" s="160"/>
    </row>
    <row r="32" spans="2:5" ht="15.75" customHeight="1">
      <c r="B32" s="14" t="s">
        <v>19</v>
      </c>
      <c r="C32" s="152">
        <f>(14*0.8*C11)</f>
        <v>235.36000000000004</v>
      </c>
      <c r="D32" s="152"/>
      <c r="E32" s="152"/>
    </row>
    <row r="33" spans="2:5" ht="15.75" customHeight="1">
      <c r="B33" s="14" t="s">
        <v>20</v>
      </c>
      <c r="C33" s="156">
        <v>0</v>
      </c>
      <c r="D33" s="156"/>
      <c r="E33" s="156"/>
    </row>
    <row r="34" spans="2:6" s="21" customFormat="1" ht="15" customHeight="1">
      <c r="B34" s="14" t="s">
        <v>21</v>
      </c>
      <c r="C34" s="156">
        <v>0</v>
      </c>
      <c r="D34" s="156"/>
      <c r="E34" s="156"/>
      <c r="F34" s="22"/>
    </row>
    <row r="35" spans="2:6" s="21" customFormat="1" ht="15" customHeight="1">
      <c r="B35" s="20" t="s">
        <v>22</v>
      </c>
      <c r="C35" s="156">
        <v>22.7</v>
      </c>
      <c r="D35" s="156"/>
      <c r="E35" s="156"/>
      <c r="F35" s="22"/>
    </row>
    <row r="36" spans="2:6" s="21" customFormat="1" ht="15" customHeight="1">
      <c r="B36" s="14" t="s">
        <v>23</v>
      </c>
      <c r="C36" s="156">
        <v>110</v>
      </c>
      <c r="D36" s="156"/>
      <c r="E36" s="156"/>
      <c r="F36" s="22"/>
    </row>
    <row r="37" spans="2:6" s="21" customFormat="1" ht="15" customHeight="1" thickBot="1">
      <c r="B37" s="16" t="s">
        <v>24</v>
      </c>
      <c r="C37" s="153">
        <f>SUM(C31:E36)</f>
        <v>444.4927012987014</v>
      </c>
      <c r="D37" s="153"/>
      <c r="E37" s="153"/>
      <c r="F37" s="22"/>
    </row>
    <row r="38" spans="2:6" s="21" customFormat="1" ht="18.75" customHeight="1" thickBot="1">
      <c r="B38" s="157"/>
      <c r="C38" s="157"/>
      <c r="D38" s="157"/>
      <c r="E38" s="157"/>
      <c r="F38" s="22"/>
    </row>
    <row r="39" spans="2:6" s="21" customFormat="1" ht="13.5" customHeight="1" thickBot="1">
      <c r="B39" s="155" t="s">
        <v>25</v>
      </c>
      <c r="C39" s="155"/>
      <c r="D39" s="155"/>
      <c r="E39" s="155"/>
      <c r="F39" s="22"/>
    </row>
    <row r="40" spans="2:6" s="21" customFormat="1" ht="13.5" customHeight="1" thickBot="1">
      <c r="B40" s="17" t="s">
        <v>26</v>
      </c>
      <c r="C40" s="158" t="s">
        <v>7</v>
      </c>
      <c r="D40" s="158"/>
      <c r="E40" s="158"/>
      <c r="F40" s="22"/>
    </row>
    <row r="41" spans="2:6" s="21" customFormat="1" ht="13.5" customHeight="1">
      <c r="B41" s="23" t="s">
        <v>27</v>
      </c>
      <c r="C41" s="151">
        <f>Uniformes!H12</f>
        <v>78.91</v>
      </c>
      <c r="D41" s="151"/>
      <c r="E41" s="151"/>
      <c r="F41" s="22"/>
    </row>
    <row r="42" spans="2:6" s="21" customFormat="1" ht="13.5" customHeight="1">
      <c r="B42" s="70" t="s">
        <v>129</v>
      </c>
      <c r="C42" s="152">
        <v>0</v>
      </c>
      <c r="D42" s="152"/>
      <c r="E42" s="152"/>
      <c r="F42" s="22"/>
    </row>
    <row r="43" spans="2:6" s="21" customFormat="1" ht="14.25" customHeight="1" thickBot="1">
      <c r="B43" s="24" t="s">
        <v>28</v>
      </c>
      <c r="C43" s="153">
        <f>SUM(C41:E42)</f>
        <v>78.91</v>
      </c>
      <c r="D43" s="153"/>
      <c r="E43" s="153"/>
      <c r="F43" s="22"/>
    </row>
    <row r="44" spans="2:6" s="21" customFormat="1" ht="14.25" customHeight="1" thickBot="1">
      <c r="B44" s="154"/>
      <c r="C44" s="154"/>
      <c r="D44" s="154"/>
      <c r="E44" s="154"/>
      <c r="F44" s="22"/>
    </row>
    <row r="45" spans="2:6" s="21" customFormat="1" ht="14.25" customHeight="1" thickBot="1">
      <c r="B45" s="155" t="s">
        <v>29</v>
      </c>
      <c r="C45" s="155"/>
      <c r="D45" s="155"/>
      <c r="E45" s="155"/>
      <c r="F45" s="22"/>
    </row>
    <row r="46" spans="2:6" s="21" customFormat="1" ht="14.25" customHeight="1" thickBot="1">
      <c r="B46" s="150" t="s">
        <v>30</v>
      </c>
      <c r="C46" s="150"/>
      <c r="D46" s="150"/>
      <c r="E46" s="150"/>
      <c r="F46" s="22"/>
    </row>
    <row r="47" spans="2:6" s="21" customFormat="1" ht="14.25" customHeight="1" thickBot="1">
      <c r="B47" s="25" t="s">
        <v>31</v>
      </c>
      <c r="C47" s="26" t="s">
        <v>32</v>
      </c>
      <c r="D47" s="145" t="s">
        <v>7</v>
      </c>
      <c r="E47" s="145"/>
      <c r="F47" s="22"/>
    </row>
    <row r="48" spans="2:6" s="21" customFormat="1" ht="14.25" customHeight="1">
      <c r="B48" s="27" t="s">
        <v>33</v>
      </c>
      <c r="C48" s="28">
        <v>20</v>
      </c>
      <c r="D48" s="142">
        <f aca="true" t="shared" si="0" ref="D48:D53">$C$27*(C48/100)</f>
        <v>201.02363636363637</v>
      </c>
      <c r="E48" s="142"/>
      <c r="F48" s="22"/>
    </row>
    <row r="49" spans="2:6" s="21" customFormat="1" ht="14.25" customHeight="1">
      <c r="B49" s="29" t="s">
        <v>34</v>
      </c>
      <c r="C49" s="30">
        <v>1.5</v>
      </c>
      <c r="D49" s="149">
        <f t="shared" si="0"/>
        <v>15.076772727272727</v>
      </c>
      <c r="E49" s="149"/>
      <c r="F49" s="22"/>
    </row>
    <row r="50" spans="2:6" s="21" customFormat="1" ht="14.25" customHeight="1">
      <c r="B50" s="29" t="s">
        <v>35</v>
      </c>
      <c r="C50" s="30">
        <v>1</v>
      </c>
      <c r="D50" s="149">
        <f t="shared" si="0"/>
        <v>10.051181818181819</v>
      </c>
      <c r="E50" s="149"/>
      <c r="F50" s="22"/>
    </row>
    <row r="51" spans="2:6" s="21" customFormat="1" ht="14.25" customHeight="1">
      <c r="B51" s="29" t="s">
        <v>36</v>
      </c>
      <c r="C51" s="30">
        <v>0.2</v>
      </c>
      <c r="D51" s="149">
        <f t="shared" si="0"/>
        <v>2.0102363636363636</v>
      </c>
      <c r="E51" s="149"/>
      <c r="F51" s="22"/>
    </row>
    <row r="52" spans="2:6" s="21" customFormat="1" ht="14.25" customHeight="1">
      <c r="B52" s="29" t="s">
        <v>37</v>
      </c>
      <c r="C52" s="30">
        <v>2.5</v>
      </c>
      <c r="D52" s="149">
        <f t="shared" si="0"/>
        <v>25.127954545454546</v>
      </c>
      <c r="E52" s="149"/>
      <c r="F52" s="22"/>
    </row>
    <row r="53" spans="2:6" s="21" customFormat="1" ht="14.25" customHeight="1">
      <c r="B53" s="31" t="s">
        <v>38</v>
      </c>
      <c r="C53" s="32">
        <v>8</v>
      </c>
      <c r="D53" s="139">
        <f t="shared" si="0"/>
        <v>80.40945454545455</v>
      </c>
      <c r="E53" s="139"/>
      <c r="F53" s="22"/>
    </row>
    <row r="54" spans="2:6" s="21" customFormat="1" ht="14.25" customHeight="1">
      <c r="B54" s="31" t="s">
        <v>39</v>
      </c>
      <c r="C54" s="71">
        <v>6</v>
      </c>
      <c r="D54" s="139">
        <f>$C$27*(C54/100)</f>
        <v>60.30709090909091</v>
      </c>
      <c r="E54" s="139"/>
      <c r="F54" s="22"/>
    </row>
    <row r="55" spans="2:6" s="21" customFormat="1" ht="14.25" customHeight="1">
      <c r="B55" s="29" t="s">
        <v>40</v>
      </c>
      <c r="C55" s="30">
        <v>0.6000000000000001</v>
      </c>
      <c r="D55" s="149">
        <f>$C$27*(C55/100)</f>
        <v>6.030709090909092</v>
      </c>
      <c r="E55" s="149"/>
      <c r="F55" s="22"/>
    </row>
    <row r="56" spans="2:6" s="21" customFormat="1" ht="14.25" customHeight="1" thickBot="1">
      <c r="B56" s="33" t="s">
        <v>41</v>
      </c>
      <c r="C56" s="34">
        <f>SUM(C48:C55)</f>
        <v>39.800000000000004</v>
      </c>
      <c r="D56" s="134">
        <f>SUM(D48:E55)</f>
        <v>400.0370363636364</v>
      </c>
      <c r="E56" s="134"/>
      <c r="F56" s="60"/>
    </row>
    <row r="57" spans="2:6" s="21" customFormat="1" ht="14.25" customHeight="1">
      <c r="B57" s="35" t="s">
        <v>42</v>
      </c>
      <c r="C57" s="36"/>
      <c r="D57" s="36"/>
      <c r="E57" s="36"/>
      <c r="F57" s="22"/>
    </row>
    <row r="58" spans="2:8" s="21" customFormat="1" ht="14.25" customHeight="1" thickBot="1">
      <c r="B58" s="37"/>
      <c r="C58" s="36"/>
      <c r="D58" s="36"/>
      <c r="E58" s="36"/>
      <c r="F58" s="22"/>
      <c r="H58" s="61"/>
    </row>
    <row r="59" spans="2:6" s="21" customFormat="1" ht="14.25" customHeight="1" thickBot="1">
      <c r="B59" s="144" t="s">
        <v>43</v>
      </c>
      <c r="C59" s="144"/>
      <c r="D59" s="144"/>
      <c r="E59" s="144"/>
      <c r="F59" s="22"/>
    </row>
    <row r="60" spans="2:6" s="21" customFormat="1" ht="14.25" customHeight="1" thickBot="1">
      <c r="B60" s="25" t="s">
        <v>44</v>
      </c>
      <c r="C60" s="146" t="s">
        <v>7</v>
      </c>
      <c r="D60" s="146"/>
      <c r="E60" s="146"/>
      <c r="F60" s="22"/>
    </row>
    <row r="61" spans="2:6" s="21" customFormat="1" ht="14.25" customHeight="1">
      <c r="B61" s="27" t="s">
        <v>45</v>
      </c>
      <c r="C61" s="142">
        <f>$C$27*0.0833</f>
        <v>83.72634454545455</v>
      </c>
      <c r="D61" s="142"/>
      <c r="E61" s="142"/>
      <c r="F61" s="22"/>
    </row>
    <row r="62" spans="2:6" s="21" customFormat="1" ht="14.25" customHeight="1">
      <c r="B62" s="31" t="s">
        <v>46</v>
      </c>
      <c r="C62" s="139">
        <f>$C$27*0.0278</f>
        <v>27.942285454545452</v>
      </c>
      <c r="D62" s="139"/>
      <c r="E62" s="139"/>
      <c r="F62" s="22"/>
    </row>
    <row r="63" spans="2:6" s="21" customFormat="1" ht="14.25" customHeight="1">
      <c r="B63" s="38" t="s">
        <v>47</v>
      </c>
      <c r="C63" s="148">
        <f>SUM(C61:E62)</f>
        <v>111.66863000000001</v>
      </c>
      <c r="D63" s="148"/>
      <c r="E63" s="148"/>
      <c r="F63" s="22"/>
    </row>
    <row r="64" spans="2:6" s="21" customFormat="1" ht="14.25" customHeight="1">
      <c r="B64" s="31" t="s">
        <v>48</v>
      </c>
      <c r="C64" s="139">
        <f>C63*(C56/100)</f>
        <v>44.44411474</v>
      </c>
      <c r="D64" s="139"/>
      <c r="E64" s="139"/>
      <c r="F64" s="22"/>
    </row>
    <row r="65" spans="2:6" s="21" customFormat="1" ht="14.25" customHeight="1" thickBot="1">
      <c r="B65" s="33" t="s">
        <v>41</v>
      </c>
      <c r="C65" s="134">
        <f>SUM(C63:E64)</f>
        <v>156.11274474</v>
      </c>
      <c r="D65" s="134"/>
      <c r="E65" s="134"/>
      <c r="F65" s="22"/>
    </row>
    <row r="66" spans="2:6" s="21" customFormat="1" ht="14.25" customHeight="1" thickBot="1">
      <c r="B66" s="37"/>
      <c r="C66" s="36"/>
      <c r="D66" s="36"/>
      <c r="E66" s="36"/>
      <c r="F66" s="39"/>
    </row>
    <row r="67" spans="2:6" s="21" customFormat="1" ht="14.25" customHeight="1" thickBot="1">
      <c r="B67" s="144" t="s">
        <v>49</v>
      </c>
      <c r="C67" s="144"/>
      <c r="D67" s="144"/>
      <c r="E67" s="144"/>
      <c r="F67" s="22"/>
    </row>
    <row r="68" spans="2:6" s="21" customFormat="1" ht="14.25" customHeight="1" thickBot="1">
      <c r="B68" s="25" t="s">
        <v>50</v>
      </c>
      <c r="C68" s="146" t="s">
        <v>7</v>
      </c>
      <c r="D68" s="146"/>
      <c r="E68" s="146"/>
      <c r="F68" s="22"/>
    </row>
    <row r="69" spans="2:6" s="21" customFormat="1" ht="14.25" customHeight="1">
      <c r="B69" s="27" t="s">
        <v>51</v>
      </c>
      <c r="C69" s="142">
        <f>(((C61)+(C62)+C35)*4*0.6181*0.0606)/12</f>
        <v>1.6776756541006</v>
      </c>
      <c r="D69" s="142"/>
      <c r="E69" s="142"/>
      <c r="F69" s="22"/>
    </row>
    <row r="70" spans="2:6" s="21" customFormat="1" ht="14.25" customHeight="1">
      <c r="B70" s="31" t="s">
        <v>52</v>
      </c>
      <c r="C70" s="139">
        <f>C69*(C56/100)</f>
        <v>0.6677149103320388</v>
      </c>
      <c r="D70" s="139"/>
      <c r="E70" s="139"/>
      <c r="F70" s="22"/>
    </row>
    <row r="71" spans="2:6" s="21" customFormat="1" ht="14.25" customHeight="1" thickBot="1">
      <c r="B71" s="33" t="s">
        <v>41</v>
      </c>
      <c r="C71" s="147">
        <f>SUM(C69:E70)</f>
        <v>2.3453905644326385</v>
      </c>
      <c r="D71" s="147"/>
      <c r="E71" s="147"/>
      <c r="F71" s="22"/>
    </row>
    <row r="72" spans="2:12" s="21" customFormat="1" ht="14.25" customHeight="1" thickBot="1">
      <c r="B72" s="37"/>
      <c r="C72" s="36"/>
      <c r="D72" s="36"/>
      <c r="E72" s="36"/>
      <c r="F72" s="22"/>
      <c r="L72"/>
    </row>
    <row r="73" spans="2:6" s="21" customFormat="1" ht="14.25" customHeight="1" thickBot="1">
      <c r="B73" s="144" t="s">
        <v>53</v>
      </c>
      <c r="C73" s="144"/>
      <c r="D73" s="144"/>
      <c r="E73" s="144"/>
      <c r="F73" s="22"/>
    </row>
    <row r="74" spans="2:6" s="21" customFormat="1" ht="14.25" customHeight="1" thickBot="1">
      <c r="B74" s="25" t="s">
        <v>54</v>
      </c>
      <c r="C74" s="146" t="s">
        <v>7</v>
      </c>
      <c r="D74" s="146"/>
      <c r="E74" s="146"/>
      <c r="F74" s="22"/>
    </row>
    <row r="75" spans="2:6" s="21" customFormat="1" ht="14.25" customHeight="1">
      <c r="B75" s="27" t="s">
        <v>55</v>
      </c>
      <c r="C75" s="142">
        <f>C27*(0.05*(1/12))</f>
        <v>4.187992424242424</v>
      </c>
      <c r="D75" s="142"/>
      <c r="E75" s="142"/>
      <c r="F75" s="22"/>
    </row>
    <row r="76" spans="2:6" s="21" customFormat="1" ht="14.25" customHeight="1">
      <c r="B76" s="31" t="s">
        <v>56</v>
      </c>
      <c r="C76" s="139">
        <f>C75*(C56/100)</f>
        <v>1.6668209848484847</v>
      </c>
      <c r="D76" s="139"/>
      <c r="E76" s="139"/>
      <c r="F76" s="39"/>
    </row>
    <row r="77" spans="2:6" s="21" customFormat="1" ht="14.25" customHeight="1">
      <c r="B77" s="31" t="s">
        <v>57</v>
      </c>
      <c r="C77" s="139">
        <f>$C$27*(0.08*0.5*0.05)</f>
        <v>2.0102363636363636</v>
      </c>
      <c r="D77" s="139"/>
      <c r="E77" s="139"/>
      <c r="F77" s="22"/>
    </row>
    <row r="78" spans="2:6" s="21" customFormat="1" ht="14.25" customHeight="1">
      <c r="B78" s="31" t="s">
        <v>58</v>
      </c>
      <c r="C78" s="139">
        <f>C27*0.01944</f>
        <v>19.539497454545458</v>
      </c>
      <c r="D78" s="139"/>
      <c r="E78" s="139"/>
      <c r="F78" s="22"/>
    </row>
    <row r="79" spans="2:6" s="21" customFormat="1" ht="14.25" customHeight="1">
      <c r="B79" s="31" t="s">
        <v>59</v>
      </c>
      <c r="C79" s="139">
        <f>C78*(C56/100)</f>
        <v>7.776719986909093</v>
      </c>
      <c r="D79" s="139"/>
      <c r="E79" s="139"/>
      <c r="F79" s="22"/>
    </row>
    <row r="80" spans="2:6" s="40" customFormat="1" ht="15" customHeight="1">
      <c r="B80" s="31" t="s">
        <v>60</v>
      </c>
      <c r="C80" s="139">
        <f>$C$27*(0.08*0.5)</f>
        <v>40.204727272727276</v>
      </c>
      <c r="D80" s="139"/>
      <c r="E80" s="139"/>
      <c r="F80" s="42"/>
    </row>
    <row r="81" spans="2:6" s="21" customFormat="1" ht="15" customHeight="1" thickBot="1">
      <c r="B81" s="33" t="s">
        <v>41</v>
      </c>
      <c r="C81" s="134">
        <f>SUM(C75:E80)</f>
        <v>75.3859944869091</v>
      </c>
      <c r="D81" s="134"/>
      <c r="E81" s="134"/>
      <c r="F81" s="22"/>
    </row>
    <row r="82" spans="2:6" s="21" customFormat="1" ht="15" customHeight="1" thickBot="1">
      <c r="B82" s="37"/>
      <c r="C82" s="36"/>
      <c r="D82" s="36"/>
      <c r="E82" s="36"/>
      <c r="F82" s="22"/>
    </row>
    <row r="83" spans="2:6" s="21" customFormat="1" ht="15" customHeight="1" thickBot="1">
      <c r="B83" s="144" t="s">
        <v>61</v>
      </c>
      <c r="C83" s="144"/>
      <c r="D83" s="144"/>
      <c r="E83" s="144"/>
      <c r="F83" s="22"/>
    </row>
    <row r="84" spans="2:5" s="21" customFormat="1" ht="15" customHeight="1" thickBot="1">
      <c r="B84" s="25" t="s">
        <v>62</v>
      </c>
      <c r="C84" s="145" t="s">
        <v>7</v>
      </c>
      <c r="D84" s="145"/>
      <c r="E84" s="145"/>
    </row>
    <row r="85" spans="2:5" s="21" customFormat="1" ht="15" customHeight="1">
      <c r="B85" s="41" t="s">
        <v>63</v>
      </c>
      <c r="C85" s="142">
        <f>C27*0.0833</f>
        <v>83.72634454545455</v>
      </c>
      <c r="D85" s="142"/>
      <c r="E85" s="142"/>
    </row>
    <row r="86" spans="1:5" s="21" customFormat="1" ht="15" customHeight="1">
      <c r="A86" s="44"/>
      <c r="B86" s="31" t="s">
        <v>64</v>
      </c>
      <c r="C86" s="139">
        <f>C27*0.0166</f>
        <v>16.68496181818182</v>
      </c>
      <c r="D86" s="139"/>
      <c r="E86" s="139"/>
    </row>
    <row r="87" spans="1:5" s="21" customFormat="1" ht="15" customHeight="1">
      <c r="A87" s="44"/>
      <c r="B87" s="31" t="s">
        <v>65</v>
      </c>
      <c r="C87" s="139">
        <f>C27*0.0002</f>
        <v>0.20102363636363638</v>
      </c>
      <c r="D87" s="139"/>
      <c r="E87" s="139"/>
    </row>
    <row r="88" spans="2:5" s="40" customFormat="1" ht="15" customHeight="1">
      <c r="B88" s="31" t="s">
        <v>66</v>
      </c>
      <c r="C88" s="139">
        <f>C27*((2.96/30)/12)</f>
        <v>8.264305050505051</v>
      </c>
      <c r="D88" s="139"/>
      <c r="E88" s="139"/>
    </row>
    <row r="89" spans="2:5" s="40" customFormat="1" ht="15" customHeight="1">
      <c r="B89" s="31" t="s">
        <v>67</v>
      </c>
      <c r="C89" s="139">
        <f>C27*0.0003</f>
        <v>0.3015354545454545</v>
      </c>
      <c r="D89" s="139"/>
      <c r="E89" s="139"/>
    </row>
    <row r="90" spans="2:5" s="40" customFormat="1" ht="15" customHeight="1">
      <c r="B90" s="43" t="s">
        <v>68</v>
      </c>
      <c r="C90" s="139">
        <v>0</v>
      </c>
      <c r="D90" s="139"/>
      <c r="E90" s="139"/>
    </row>
    <row r="91" spans="2:5" s="40" customFormat="1" ht="15" customHeight="1">
      <c r="B91" s="31" t="s">
        <v>69</v>
      </c>
      <c r="C91" s="139">
        <f>SUM(C85:E90)*(C56/100)</f>
        <v>43.45291186101011</v>
      </c>
      <c r="D91" s="139"/>
      <c r="E91" s="139"/>
    </row>
    <row r="92" spans="2:5" s="40" customFormat="1" ht="15" customHeight="1" thickBot="1">
      <c r="B92" s="33" t="s">
        <v>41</v>
      </c>
      <c r="C92" s="134">
        <f>SUM(C85:E91)</f>
        <v>152.63108236606064</v>
      </c>
      <c r="D92" s="134"/>
      <c r="E92" s="134"/>
    </row>
    <row r="93" s="40" customFormat="1" ht="15" customHeight="1" thickBot="1">
      <c r="B93" s="45"/>
    </row>
    <row r="94" spans="2:5" s="40" customFormat="1" ht="15" customHeight="1" thickBot="1">
      <c r="B94" s="143" t="s">
        <v>70</v>
      </c>
      <c r="C94" s="143"/>
      <c r="D94" s="143"/>
      <c r="E94" s="143"/>
    </row>
    <row r="95" spans="2:5" s="40" customFormat="1" ht="15" customHeight="1" thickBot="1">
      <c r="B95" s="46" t="s">
        <v>71</v>
      </c>
      <c r="C95" s="141" t="s">
        <v>7</v>
      </c>
      <c r="D95" s="141"/>
      <c r="E95" s="141"/>
    </row>
    <row r="96" spans="2:5" s="40" customFormat="1" ht="15" customHeight="1">
      <c r="B96" s="41" t="s">
        <v>72</v>
      </c>
      <c r="C96" s="142">
        <f>D56</f>
        <v>400.0370363636364</v>
      </c>
      <c r="D96" s="142"/>
      <c r="E96" s="142"/>
    </row>
    <row r="97" spans="2:6" s="40" customFormat="1" ht="15" customHeight="1">
      <c r="B97" s="47" t="s">
        <v>73</v>
      </c>
      <c r="C97" s="139">
        <f>C65</f>
        <v>156.11274474</v>
      </c>
      <c r="D97" s="139"/>
      <c r="E97" s="139"/>
      <c r="F97" s="49"/>
    </row>
    <row r="98" spans="2:5" s="40" customFormat="1" ht="15" customHeight="1">
      <c r="B98" s="47" t="s">
        <v>74</v>
      </c>
      <c r="C98" s="139">
        <f>C71</f>
        <v>2.3453905644326385</v>
      </c>
      <c r="D98" s="139"/>
      <c r="E98" s="139"/>
    </row>
    <row r="99" spans="2:5" s="40" customFormat="1" ht="15" customHeight="1">
      <c r="B99" s="47" t="s">
        <v>75</v>
      </c>
      <c r="C99" s="139">
        <f>C81</f>
        <v>75.3859944869091</v>
      </c>
      <c r="D99" s="139"/>
      <c r="E99" s="139"/>
    </row>
    <row r="100" spans="2:5" s="40" customFormat="1" ht="15" customHeight="1">
      <c r="B100" s="47" t="s">
        <v>76</v>
      </c>
      <c r="C100" s="139">
        <f>C92</f>
        <v>152.63108236606064</v>
      </c>
      <c r="D100" s="139"/>
      <c r="E100" s="139"/>
    </row>
    <row r="101" spans="2:10" s="40" customFormat="1" ht="15" customHeight="1">
      <c r="B101" s="47" t="s">
        <v>77</v>
      </c>
      <c r="C101" s="139"/>
      <c r="D101" s="139"/>
      <c r="E101" s="139"/>
      <c r="J101" s="72"/>
    </row>
    <row r="102" spans="2:10" s="40" customFormat="1" ht="15" customHeight="1" thickBot="1">
      <c r="B102" s="48" t="s">
        <v>41</v>
      </c>
      <c r="C102" s="134">
        <f>SUM(C96:E101)</f>
        <v>786.5122485210388</v>
      </c>
      <c r="D102" s="134"/>
      <c r="E102" s="134"/>
      <c r="J102" s="61"/>
    </row>
    <row r="103" spans="2:10" s="40" customFormat="1" ht="15" customHeight="1" thickBot="1">
      <c r="B103" s="45"/>
      <c r="J103" s="61"/>
    </row>
    <row r="104" spans="2:5" s="40" customFormat="1" ht="15" customHeight="1" thickBot="1">
      <c r="B104" s="140" t="s">
        <v>78</v>
      </c>
      <c r="C104" s="140"/>
      <c r="D104" s="140"/>
      <c r="E104" s="140"/>
    </row>
    <row r="105" spans="2:5" s="40" customFormat="1" ht="15" customHeight="1" thickBot="1">
      <c r="B105" s="46" t="s">
        <v>79</v>
      </c>
      <c r="C105" s="50" t="s">
        <v>32</v>
      </c>
      <c r="D105" s="141" t="s">
        <v>7</v>
      </c>
      <c r="E105" s="141"/>
    </row>
    <row r="106" spans="2:5" s="40" customFormat="1" ht="15" customHeight="1">
      <c r="B106" s="81" t="s">
        <v>80</v>
      </c>
      <c r="C106" s="82">
        <f>'Custos Indiretos e Lucro'!E3</f>
        <v>0.06</v>
      </c>
      <c r="D106" s="142">
        <f>(C102+C43+C37+C27)*C106</f>
        <v>138.9019878982753</v>
      </c>
      <c r="E106" s="142"/>
    </row>
    <row r="107" spans="2:5" s="40" customFormat="1" ht="15" customHeight="1">
      <c r="B107" s="79" t="s">
        <v>81</v>
      </c>
      <c r="C107" s="83"/>
      <c r="D107" s="139"/>
      <c r="E107" s="139"/>
    </row>
    <row r="108" spans="2:5" s="40" customFormat="1" ht="15" customHeight="1">
      <c r="B108" s="79" t="s">
        <v>82</v>
      </c>
      <c r="C108" s="84">
        <f>7.6+1.65</f>
        <v>9.25</v>
      </c>
      <c r="D108" s="139">
        <f>((C102+C43+C37+C27+D106+D112)/(1-(C108+C110)/100))*(C108/100)</f>
        <v>276.8868717093</v>
      </c>
      <c r="E108" s="139"/>
    </row>
    <row r="109" spans="2:5" s="40" customFormat="1" ht="15" customHeight="1">
      <c r="B109" s="79" t="s">
        <v>83</v>
      </c>
      <c r="C109" s="83"/>
      <c r="D109" s="139"/>
      <c r="E109" s="139"/>
    </row>
    <row r="110" spans="2:5" s="40" customFormat="1" ht="15" customHeight="1">
      <c r="B110" s="79" t="s">
        <v>153</v>
      </c>
      <c r="C110" s="84">
        <v>5</v>
      </c>
      <c r="D110" s="139">
        <f>((C102+C43+C37+C27+D106+D112)/(1-(C108+C110)/100))*(C110/100)</f>
        <v>149.66857930232433</v>
      </c>
      <c r="E110" s="139"/>
    </row>
    <row r="111" spans="2:5" s="40" customFormat="1" ht="15" customHeight="1">
      <c r="B111" s="79" t="s">
        <v>84</v>
      </c>
      <c r="C111" s="83"/>
      <c r="D111" s="139"/>
      <c r="E111" s="139"/>
    </row>
    <row r="112" spans="2:5" s="40" customFormat="1" ht="15" customHeight="1">
      <c r="B112" s="79" t="s">
        <v>85</v>
      </c>
      <c r="C112" s="80">
        <f>'Custos Indiretos e Lucro'!E4</f>
        <v>0.046000000000000006</v>
      </c>
      <c r="D112" s="139">
        <f>(C102+C43+C37+C27+D106)*C112</f>
        <v>112.88101549866509</v>
      </c>
      <c r="E112" s="139"/>
    </row>
    <row r="113" spans="2:5" s="40" customFormat="1" ht="15" customHeight="1" thickBot="1">
      <c r="B113" s="48" t="s">
        <v>41</v>
      </c>
      <c r="C113" s="51">
        <f>SUM(C106:C112)</f>
        <v>14.356</v>
      </c>
      <c r="D113" s="134">
        <f>SUM(D106:E112)</f>
        <v>678.3384544085648</v>
      </c>
      <c r="E113" s="134"/>
    </row>
    <row r="114" s="40" customFormat="1" ht="15" customHeight="1">
      <c r="B114" s="45"/>
    </row>
    <row r="115" spans="2:5" s="40" customFormat="1" ht="15" customHeight="1">
      <c r="B115" s="135" t="s">
        <v>86</v>
      </c>
      <c r="C115" s="135"/>
      <c r="D115" s="135"/>
      <c r="E115" s="135"/>
    </row>
    <row r="116" spans="2:5" s="40" customFormat="1" ht="15" customHeight="1">
      <c r="B116" s="136" t="s">
        <v>87</v>
      </c>
      <c r="C116" s="136"/>
      <c r="D116" s="136"/>
      <c r="E116" s="136"/>
    </row>
    <row r="117" s="40" customFormat="1" ht="15" customHeight="1" thickBot="1">
      <c r="B117" s="45"/>
    </row>
    <row r="118" spans="2:5" s="40" customFormat="1" ht="15" customHeight="1" thickBot="1">
      <c r="B118" s="69" t="s">
        <v>88</v>
      </c>
      <c r="C118" s="137" t="s">
        <v>7</v>
      </c>
      <c r="D118" s="137"/>
      <c r="E118" s="137"/>
    </row>
    <row r="119" spans="2:5" s="40" customFormat="1" ht="15" customHeight="1">
      <c r="B119" s="41" t="s">
        <v>89</v>
      </c>
      <c r="C119" s="138">
        <f>C27</f>
        <v>1005.1181818181818</v>
      </c>
      <c r="D119" s="138"/>
      <c r="E119" s="138"/>
    </row>
    <row r="120" spans="2:5" s="40" customFormat="1" ht="15" customHeight="1">
      <c r="B120" s="47" t="s">
        <v>90</v>
      </c>
      <c r="C120" s="130">
        <f>C37</f>
        <v>444.4927012987014</v>
      </c>
      <c r="D120" s="130"/>
      <c r="E120" s="130"/>
    </row>
    <row r="121" spans="2:5" s="40" customFormat="1" ht="15" customHeight="1">
      <c r="B121" s="47" t="s">
        <v>91</v>
      </c>
      <c r="C121" s="130">
        <f>C43</f>
        <v>78.91</v>
      </c>
      <c r="D121" s="130"/>
      <c r="E121" s="130"/>
    </row>
    <row r="122" spans="2:5" s="40" customFormat="1" ht="15" customHeight="1">
      <c r="B122" s="47" t="s">
        <v>92</v>
      </c>
      <c r="C122" s="130">
        <f>C102</f>
        <v>786.5122485210388</v>
      </c>
      <c r="D122" s="130"/>
      <c r="E122" s="130"/>
    </row>
    <row r="123" spans="2:5" s="40" customFormat="1" ht="15" customHeight="1">
      <c r="B123" s="52" t="s">
        <v>93</v>
      </c>
      <c r="C123" s="131">
        <f>SUM(C119:E122)</f>
        <v>2315.033131637922</v>
      </c>
      <c r="D123" s="131"/>
      <c r="E123" s="131"/>
    </row>
    <row r="124" spans="2:5" s="40" customFormat="1" ht="15" customHeight="1">
      <c r="B124" s="47" t="s">
        <v>94</v>
      </c>
      <c r="C124" s="130">
        <f>D113</f>
        <v>678.3384544085648</v>
      </c>
      <c r="D124" s="130"/>
      <c r="E124" s="130"/>
    </row>
    <row r="125" spans="2:5" ht="13.5" thickBot="1">
      <c r="B125" s="48" t="s">
        <v>95</v>
      </c>
      <c r="C125" s="132">
        <f>SUM(C123:E124)</f>
        <v>2993.3715860464868</v>
      </c>
      <c r="D125" s="132"/>
      <c r="E125" s="132"/>
    </row>
    <row r="126" spans="2:5" ht="13.5" thickBot="1">
      <c r="B126" s="53" t="s">
        <v>96</v>
      </c>
      <c r="C126" s="133">
        <f>C125/C27</f>
        <v>2.9781289804465647</v>
      </c>
      <c r="D126" s="133"/>
      <c r="E126" s="133"/>
    </row>
    <row r="127" spans="2:5" ht="15.75">
      <c r="B127" s="45"/>
      <c r="C127" s="40"/>
      <c r="D127" s="40"/>
      <c r="E127" s="40"/>
    </row>
  </sheetData>
  <sheetProtection selectLockedCells="1" selectUnlockedCells="1"/>
  <mergeCells count="113">
    <mergeCell ref="C122:E122"/>
    <mergeCell ref="C123:E123"/>
    <mergeCell ref="C124:E124"/>
    <mergeCell ref="C125:E125"/>
    <mergeCell ref="C126:E126"/>
    <mergeCell ref="B115:E115"/>
    <mergeCell ref="B116:E116"/>
    <mergeCell ref="C118:E118"/>
    <mergeCell ref="C119:E119"/>
    <mergeCell ref="C120:E120"/>
    <mergeCell ref="C121:E121"/>
    <mergeCell ref="D108:E108"/>
    <mergeCell ref="D109:E109"/>
    <mergeCell ref="D110:E110"/>
    <mergeCell ref="D111:E111"/>
    <mergeCell ref="D112:E112"/>
    <mergeCell ref="D113:E113"/>
    <mergeCell ref="C101:E101"/>
    <mergeCell ref="C102:E102"/>
    <mergeCell ref="B104:E104"/>
    <mergeCell ref="D105:E105"/>
    <mergeCell ref="D106:E106"/>
    <mergeCell ref="D107:E107"/>
    <mergeCell ref="C95:E95"/>
    <mergeCell ref="C96:E96"/>
    <mergeCell ref="C97:E97"/>
    <mergeCell ref="C98:E98"/>
    <mergeCell ref="C99:E99"/>
    <mergeCell ref="C100:E100"/>
    <mergeCell ref="C88:E88"/>
    <mergeCell ref="C89:E89"/>
    <mergeCell ref="C90:E90"/>
    <mergeCell ref="C91:E91"/>
    <mergeCell ref="C92:E92"/>
    <mergeCell ref="B94:E94"/>
    <mergeCell ref="C81:E81"/>
    <mergeCell ref="B83:E83"/>
    <mergeCell ref="C84:E84"/>
    <mergeCell ref="C85:E85"/>
    <mergeCell ref="C86:E86"/>
    <mergeCell ref="C87:E87"/>
    <mergeCell ref="C75:E75"/>
    <mergeCell ref="C76:E76"/>
    <mergeCell ref="C77:E77"/>
    <mergeCell ref="C78:E78"/>
    <mergeCell ref="C79:E79"/>
    <mergeCell ref="C80:E80"/>
    <mergeCell ref="C68:E68"/>
    <mergeCell ref="C69:E69"/>
    <mergeCell ref="C70:E70"/>
    <mergeCell ref="C71:E71"/>
    <mergeCell ref="B73:E73"/>
    <mergeCell ref="C74:E74"/>
    <mergeCell ref="C61:E61"/>
    <mergeCell ref="C62:E62"/>
    <mergeCell ref="C63:E63"/>
    <mergeCell ref="C64:E64"/>
    <mergeCell ref="C65:E65"/>
    <mergeCell ref="B67:E67"/>
    <mergeCell ref="D53:E53"/>
    <mergeCell ref="D54:E54"/>
    <mergeCell ref="D55:E55"/>
    <mergeCell ref="D56:E56"/>
    <mergeCell ref="B59:E59"/>
    <mergeCell ref="C60:E60"/>
    <mergeCell ref="D47:E47"/>
    <mergeCell ref="D48:E48"/>
    <mergeCell ref="D49:E49"/>
    <mergeCell ref="D50:E50"/>
    <mergeCell ref="D51:E51"/>
    <mergeCell ref="D52:E52"/>
    <mergeCell ref="C41:E41"/>
    <mergeCell ref="C42:E42"/>
    <mergeCell ref="C43:E43"/>
    <mergeCell ref="B44:E44"/>
    <mergeCell ref="B45:E45"/>
    <mergeCell ref="B46:E46"/>
    <mergeCell ref="C35:E35"/>
    <mergeCell ref="C36:E36"/>
    <mergeCell ref="C37:E37"/>
    <mergeCell ref="B38:E38"/>
    <mergeCell ref="B39:E39"/>
    <mergeCell ref="C40:E40"/>
    <mergeCell ref="B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B28:E28"/>
    <mergeCell ref="B17:E17"/>
    <mergeCell ref="C18:E18"/>
    <mergeCell ref="C19:E19"/>
    <mergeCell ref="C20:E20"/>
    <mergeCell ref="C21:E21"/>
    <mergeCell ref="C22:E22"/>
    <mergeCell ref="B9:E9"/>
    <mergeCell ref="C10:E10"/>
    <mergeCell ref="C11:E11"/>
    <mergeCell ref="C12:E12"/>
    <mergeCell ref="C13:E13"/>
    <mergeCell ref="C14:E14"/>
    <mergeCell ref="B1:E1"/>
    <mergeCell ref="C3:E3"/>
    <mergeCell ref="C5:E5"/>
    <mergeCell ref="C6:E6"/>
    <mergeCell ref="C7:E7"/>
    <mergeCell ref="C8:E8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72" r:id="rId3"/>
  <headerFooter alignWithMargins="0">
    <oddHeader>&amp;C&amp;"Times New Roman,Normal"&amp;12&amp;A</oddHeader>
    <oddFooter>&amp;C&amp;"Times New Roman,Normal"&amp;12Página &amp;P</oddFooter>
  </headerFooter>
  <colBreaks count="1" manualBreakCount="1">
    <brk id="5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SheetLayoutView="100" zoomScalePageLayoutView="0" workbookViewId="0" topLeftCell="A1">
      <selection activeCell="F24" sqref="F24"/>
    </sheetView>
  </sheetViews>
  <sheetFormatPr defaultColWidth="11.421875" defaultRowHeight="12.75"/>
  <cols>
    <col min="1" max="1" width="3.421875" style="1" customWidth="1"/>
    <col min="2" max="2" width="65.7109375" style="1" customWidth="1"/>
    <col min="3" max="3" width="15.57421875" style="1" customWidth="1"/>
    <col min="4" max="4" width="15.7109375" style="1" customWidth="1"/>
    <col min="5" max="5" width="22.8515625" style="1" customWidth="1"/>
    <col min="6" max="6" width="20.57421875" style="2" customWidth="1"/>
    <col min="7" max="8" width="11.421875" style="1" customWidth="1"/>
    <col min="9" max="9" width="16.8515625" style="1" bestFit="1" customWidth="1"/>
    <col min="10" max="10" width="28.00390625" style="1" customWidth="1"/>
    <col min="11" max="11" width="16.57421875" style="1" bestFit="1" customWidth="1"/>
    <col min="12" max="16384" width="11.421875" style="1" customWidth="1"/>
  </cols>
  <sheetData>
    <row r="1" spans="2:5" ht="39" customHeight="1">
      <c r="B1" s="173" t="s">
        <v>159</v>
      </c>
      <c r="C1" s="173"/>
      <c r="D1" s="173"/>
      <c r="E1" s="173"/>
    </row>
    <row r="2" spans="2:5" ht="17.25" customHeight="1" thickBot="1">
      <c r="B2" s="3"/>
      <c r="C2" s="4"/>
      <c r="D2" s="4"/>
      <c r="E2" s="4"/>
    </row>
    <row r="3" spans="2:5" ht="17.25" customHeight="1" thickBot="1">
      <c r="B3" s="68" t="s">
        <v>0</v>
      </c>
      <c r="C3" s="174" t="s">
        <v>131</v>
      </c>
      <c r="D3" s="174"/>
      <c r="E3" s="174"/>
    </row>
    <row r="4" spans="2:5" ht="17.25" customHeight="1" thickBot="1">
      <c r="B4" s="3"/>
      <c r="C4" s="4"/>
      <c r="D4" s="4"/>
      <c r="E4" s="4"/>
    </row>
    <row r="5" spans="2:5" ht="17.25" customHeight="1">
      <c r="B5" s="85" t="s">
        <v>114</v>
      </c>
      <c r="C5" s="175" t="s">
        <v>118</v>
      </c>
      <c r="D5" s="176"/>
      <c r="E5" s="177"/>
    </row>
    <row r="6" spans="2:5" ht="15.75" customHeight="1">
      <c r="B6" s="86" t="s">
        <v>115</v>
      </c>
      <c r="C6" s="178" t="s">
        <v>157</v>
      </c>
      <c r="D6" s="179"/>
      <c r="E6" s="180"/>
    </row>
    <row r="7" spans="2:5" ht="15.75" customHeight="1">
      <c r="B7" s="86" t="s">
        <v>116</v>
      </c>
      <c r="C7" s="178" t="s">
        <v>126</v>
      </c>
      <c r="D7" s="179"/>
      <c r="E7" s="180"/>
    </row>
    <row r="8" spans="2:5" ht="15.75" customHeight="1" thickBot="1">
      <c r="B8" s="87" t="s">
        <v>117</v>
      </c>
      <c r="C8" s="181">
        <v>12</v>
      </c>
      <c r="D8" s="182"/>
      <c r="E8" s="183"/>
    </row>
    <row r="9" spans="2:5" ht="16.5" customHeight="1" thickBot="1">
      <c r="B9" s="167"/>
      <c r="C9" s="167"/>
      <c r="D9" s="167"/>
      <c r="E9" s="167"/>
    </row>
    <row r="10" spans="2:5" ht="15.75" customHeight="1">
      <c r="B10" s="5" t="s">
        <v>1</v>
      </c>
      <c r="C10" s="168" t="s">
        <v>132</v>
      </c>
      <c r="D10" s="168"/>
      <c r="E10" s="168"/>
    </row>
    <row r="11" spans="2:5" ht="15.75" customHeight="1">
      <c r="B11" s="6" t="s">
        <v>2</v>
      </c>
      <c r="C11" s="169">
        <f>30.42*(5/7)-(12*(5/7))/12</f>
        <v>21.014285714285716</v>
      </c>
      <c r="D11" s="169"/>
      <c r="E11" s="169"/>
    </row>
    <row r="12" spans="2:5" ht="12" customHeight="1">
      <c r="B12" s="7" t="s">
        <v>133</v>
      </c>
      <c r="C12" s="170">
        <v>1064.41</v>
      </c>
      <c r="D12" s="170"/>
      <c r="E12" s="170"/>
    </row>
    <row r="13" spans="2:5" ht="23.25" customHeight="1">
      <c r="B13" s="7" t="s">
        <v>3</v>
      </c>
      <c r="C13" s="171" t="s">
        <v>134</v>
      </c>
      <c r="D13" s="171"/>
      <c r="E13" s="171"/>
    </row>
    <row r="14" spans="2:5" ht="15.75" customHeight="1" thickBot="1">
      <c r="B14" s="8" t="s">
        <v>4</v>
      </c>
      <c r="C14" s="172">
        <v>42736</v>
      </c>
      <c r="D14" s="172"/>
      <c r="E14" s="172"/>
    </row>
    <row r="15" spans="2:5" ht="15" customHeight="1" thickBot="1">
      <c r="B15" s="9"/>
      <c r="C15" s="10"/>
      <c r="D15" s="11"/>
      <c r="E15" s="11"/>
    </row>
    <row r="16" spans="3:5" ht="15.75" customHeight="1" hidden="1" thickBot="1">
      <c r="C16" s="12"/>
      <c r="D16" s="12"/>
      <c r="E16" s="12"/>
    </row>
    <row r="17" spans="2:5" ht="15.75" customHeight="1">
      <c r="B17" s="165" t="s">
        <v>5</v>
      </c>
      <c r="C17" s="165"/>
      <c r="D17" s="165"/>
      <c r="E17" s="165"/>
    </row>
    <row r="18" spans="2:5" ht="15.75" customHeight="1">
      <c r="B18" s="13" t="s">
        <v>6</v>
      </c>
      <c r="C18" s="166" t="s">
        <v>7</v>
      </c>
      <c r="D18" s="166"/>
      <c r="E18" s="166"/>
    </row>
    <row r="19" spans="2:5" ht="15.75" customHeight="1">
      <c r="B19" s="14" t="s">
        <v>8</v>
      </c>
      <c r="C19" s="152">
        <f>(C12/44)*40</f>
        <v>967.6454545454545</v>
      </c>
      <c r="D19" s="152"/>
      <c r="E19" s="152"/>
    </row>
    <row r="20" spans="2:5" ht="15.75" customHeight="1">
      <c r="B20" s="14" t="s">
        <v>9</v>
      </c>
      <c r="C20" s="156"/>
      <c r="D20" s="156"/>
      <c r="E20" s="156"/>
    </row>
    <row r="21" spans="2:5" ht="15.75" customHeight="1">
      <c r="B21" s="14" t="s">
        <v>10</v>
      </c>
      <c r="C21" s="156"/>
      <c r="D21" s="156"/>
      <c r="E21" s="156"/>
    </row>
    <row r="22" spans="2:5" ht="15.75" customHeight="1">
      <c r="B22" s="15" t="s">
        <v>107</v>
      </c>
      <c r="C22" s="162"/>
      <c r="D22" s="162"/>
      <c r="E22" s="162"/>
    </row>
    <row r="23" spans="2:5" ht="15.75" customHeight="1">
      <c r="B23" s="15" t="s">
        <v>11</v>
      </c>
      <c r="C23" s="161"/>
      <c r="D23" s="161"/>
      <c r="E23" s="161"/>
    </row>
    <row r="24" spans="2:5" ht="15.75" customHeight="1">
      <c r="B24" s="15" t="s">
        <v>12</v>
      </c>
      <c r="C24" s="161"/>
      <c r="D24" s="161"/>
      <c r="E24" s="161"/>
    </row>
    <row r="25" spans="2:5" ht="15.75" customHeight="1">
      <c r="B25" s="15" t="s">
        <v>13</v>
      </c>
      <c r="C25" s="156"/>
      <c r="D25" s="156"/>
      <c r="E25" s="156"/>
    </row>
    <row r="26" spans="2:5" ht="15.75" customHeight="1">
      <c r="B26" s="15" t="s">
        <v>14</v>
      </c>
      <c r="C26" s="162">
        <f>(41.22/44)*40</f>
        <v>37.47272727272727</v>
      </c>
      <c r="D26" s="162"/>
      <c r="E26" s="162"/>
    </row>
    <row r="27" spans="2:6" ht="15.75" customHeight="1" thickBot="1">
      <c r="B27" s="16" t="s">
        <v>15</v>
      </c>
      <c r="C27" s="163">
        <f>SUM(C19:E26)</f>
        <v>1005.1181818181818</v>
      </c>
      <c r="D27" s="163"/>
      <c r="E27" s="163"/>
      <c r="F27" s="19"/>
    </row>
    <row r="28" spans="2:5" ht="15.75" customHeight="1" thickBot="1">
      <c r="B28" s="164"/>
      <c r="C28" s="164"/>
      <c r="D28" s="164"/>
      <c r="E28" s="164"/>
    </row>
    <row r="29" spans="2:5" ht="15.75" customHeight="1" thickBot="1">
      <c r="B29" s="155" t="s">
        <v>16</v>
      </c>
      <c r="C29" s="155"/>
      <c r="D29" s="155"/>
      <c r="E29" s="155"/>
    </row>
    <row r="30" spans="2:5" ht="15.75" customHeight="1" thickBot="1">
      <c r="B30" s="17" t="s">
        <v>17</v>
      </c>
      <c r="C30" s="159" t="s">
        <v>7</v>
      </c>
      <c r="D30" s="159"/>
      <c r="E30" s="159"/>
    </row>
    <row r="31" spans="2:5" ht="15.75" customHeight="1">
      <c r="B31" s="18" t="s">
        <v>18</v>
      </c>
      <c r="C31" s="160">
        <f>(3.6*2*C11)-(C19*0.06)</f>
        <v>93.2441298701299</v>
      </c>
      <c r="D31" s="160"/>
      <c r="E31" s="160"/>
    </row>
    <row r="32" spans="2:5" ht="15.75" customHeight="1">
      <c r="B32" s="14" t="s">
        <v>19</v>
      </c>
      <c r="C32" s="152">
        <f>(14*0.8*C11)</f>
        <v>235.36000000000004</v>
      </c>
      <c r="D32" s="152"/>
      <c r="E32" s="152"/>
    </row>
    <row r="33" spans="2:5" ht="15.75" customHeight="1">
      <c r="B33" s="14" t="s">
        <v>20</v>
      </c>
      <c r="C33" s="156">
        <v>0</v>
      </c>
      <c r="D33" s="156"/>
      <c r="E33" s="156"/>
    </row>
    <row r="34" spans="2:6" s="21" customFormat="1" ht="15" customHeight="1">
      <c r="B34" s="14" t="s">
        <v>21</v>
      </c>
      <c r="C34" s="156">
        <v>0</v>
      </c>
      <c r="D34" s="156"/>
      <c r="E34" s="156"/>
      <c r="F34" s="22"/>
    </row>
    <row r="35" spans="2:6" s="21" customFormat="1" ht="15" customHeight="1">
      <c r="B35" s="20" t="s">
        <v>22</v>
      </c>
      <c r="C35" s="156">
        <v>22.7</v>
      </c>
      <c r="D35" s="156"/>
      <c r="E35" s="156"/>
      <c r="F35" s="22"/>
    </row>
    <row r="36" spans="2:6" s="21" customFormat="1" ht="15" customHeight="1">
      <c r="B36" s="14" t="s">
        <v>23</v>
      </c>
      <c r="C36" s="156">
        <v>110</v>
      </c>
      <c r="D36" s="156"/>
      <c r="E36" s="156"/>
      <c r="F36" s="22"/>
    </row>
    <row r="37" spans="2:6" s="21" customFormat="1" ht="15" customHeight="1" thickBot="1">
      <c r="B37" s="16" t="s">
        <v>24</v>
      </c>
      <c r="C37" s="153">
        <f>SUM(C31:E36)</f>
        <v>461.30412987012994</v>
      </c>
      <c r="D37" s="153"/>
      <c r="E37" s="153"/>
      <c r="F37" s="22"/>
    </row>
    <row r="38" spans="2:6" s="21" customFormat="1" ht="18.75" customHeight="1" thickBot="1">
      <c r="B38" s="157"/>
      <c r="C38" s="157"/>
      <c r="D38" s="157"/>
      <c r="E38" s="157"/>
      <c r="F38" s="22"/>
    </row>
    <row r="39" spans="2:6" s="21" customFormat="1" ht="13.5" customHeight="1" thickBot="1">
      <c r="B39" s="155" t="s">
        <v>25</v>
      </c>
      <c r="C39" s="155"/>
      <c r="D39" s="155"/>
      <c r="E39" s="155"/>
      <c r="F39" s="22"/>
    </row>
    <row r="40" spans="2:6" s="21" customFormat="1" ht="13.5" customHeight="1" thickBot="1">
      <c r="B40" s="17" t="s">
        <v>26</v>
      </c>
      <c r="C40" s="158" t="s">
        <v>7</v>
      </c>
      <c r="D40" s="158"/>
      <c r="E40" s="158"/>
      <c r="F40" s="22"/>
    </row>
    <row r="41" spans="2:6" s="21" customFormat="1" ht="13.5" customHeight="1">
      <c r="B41" s="23" t="s">
        <v>27</v>
      </c>
      <c r="C41" s="151">
        <f>Uniformes!H12</f>
        <v>78.91</v>
      </c>
      <c r="D41" s="151"/>
      <c r="E41" s="151"/>
      <c r="F41" s="22"/>
    </row>
    <row r="42" spans="2:6" s="21" customFormat="1" ht="13.5" customHeight="1">
      <c r="B42" s="70" t="s">
        <v>129</v>
      </c>
      <c r="C42" s="152">
        <v>0</v>
      </c>
      <c r="D42" s="152"/>
      <c r="E42" s="152"/>
      <c r="F42" s="22"/>
    </row>
    <row r="43" spans="2:6" s="21" customFormat="1" ht="14.25" customHeight="1" thickBot="1">
      <c r="B43" s="24" t="s">
        <v>28</v>
      </c>
      <c r="C43" s="153">
        <f>SUM(C41:E42)</f>
        <v>78.91</v>
      </c>
      <c r="D43" s="153"/>
      <c r="E43" s="153"/>
      <c r="F43" s="22"/>
    </row>
    <row r="44" spans="2:6" s="21" customFormat="1" ht="14.25" customHeight="1" thickBot="1">
      <c r="B44" s="154"/>
      <c r="C44" s="154"/>
      <c r="D44" s="154"/>
      <c r="E44" s="154"/>
      <c r="F44" s="22"/>
    </row>
    <row r="45" spans="2:6" s="21" customFormat="1" ht="14.25" customHeight="1" thickBot="1">
      <c r="B45" s="155" t="s">
        <v>29</v>
      </c>
      <c r="C45" s="155"/>
      <c r="D45" s="155"/>
      <c r="E45" s="155"/>
      <c r="F45" s="22"/>
    </row>
    <row r="46" spans="2:6" s="21" customFormat="1" ht="14.25" customHeight="1" thickBot="1">
      <c r="B46" s="150" t="s">
        <v>30</v>
      </c>
      <c r="C46" s="150"/>
      <c r="D46" s="150"/>
      <c r="E46" s="150"/>
      <c r="F46" s="22"/>
    </row>
    <row r="47" spans="2:6" s="21" customFormat="1" ht="14.25" customHeight="1" thickBot="1">
      <c r="B47" s="25" t="s">
        <v>31</v>
      </c>
      <c r="C47" s="26" t="s">
        <v>32</v>
      </c>
      <c r="D47" s="145" t="s">
        <v>7</v>
      </c>
      <c r="E47" s="145"/>
      <c r="F47" s="22"/>
    </row>
    <row r="48" spans="2:6" s="21" customFormat="1" ht="14.25" customHeight="1">
      <c r="B48" s="27" t="s">
        <v>33</v>
      </c>
      <c r="C48" s="28">
        <v>20</v>
      </c>
      <c r="D48" s="142">
        <f aca="true" t="shared" si="0" ref="D48:D53">$C$27*(C48/100)</f>
        <v>201.02363636363637</v>
      </c>
      <c r="E48" s="142"/>
      <c r="F48" s="22"/>
    </row>
    <row r="49" spans="2:6" s="21" customFormat="1" ht="14.25" customHeight="1">
      <c r="B49" s="29" t="s">
        <v>34</v>
      </c>
      <c r="C49" s="30">
        <v>1.5</v>
      </c>
      <c r="D49" s="149">
        <f t="shared" si="0"/>
        <v>15.076772727272727</v>
      </c>
      <c r="E49" s="149"/>
      <c r="F49" s="22"/>
    </row>
    <row r="50" spans="2:6" s="21" customFormat="1" ht="14.25" customHeight="1">
      <c r="B50" s="29" t="s">
        <v>35</v>
      </c>
      <c r="C50" s="30">
        <v>1</v>
      </c>
      <c r="D50" s="149">
        <f t="shared" si="0"/>
        <v>10.051181818181819</v>
      </c>
      <c r="E50" s="149"/>
      <c r="F50" s="22"/>
    </row>
    <row r="51" spans="2:6" s="21" customFormat="1" ht="14.25" customHeight="1">
      <c r="B51" s="29" t="s">
        <v>36</v>
      </c>
      <c r="C51" s="30">
        <v>0.2</v>
      </c>
      <c r="D51" s="149">
        <f t="shared" si="0"/>
        <v>2.0102363636363636</v>
      </c>
      <c r="E51" s="149"/>
      <c r="F51" s="22"/>
    </row>
    <row r="52" spans="2:6" s="21" customFormat="1" ht="14.25" customHeight="1">
      <c r="B52" s="29" t="s">
        <v>37</v>
      </c>
      <c r="C52" s="30">
        <v>2.5</v>
      </c>
      <c r="D52" s="149">
        <f t="shared" si="0"/>
        <v>25.127954545454546</v>
      </c>
      <c r="E52" s="149"/>
      <c r="F52" s="22"/>
    </row>
    <row r="53" spans="2:6" s="21" customFormat="1" ht="14.25" customHeight="1">
      <c r="B53" s="31" t="s">
        <v>38</v>
      </c>
      <c r="C53" s="32">
        <v>8</v>
      </c>
      <c r="D53" s="139">
        <f t="shared" si="0"/>
        <v>80.40945454545455</v>
      </c>
      <c r="E53" s="139"/>
      <c r="F53" s="22"/>
    </row>
    <row r="54" spans="2:6" s="21" customFormat="1" ht="14.25" customHeight="1">
      <c r="B54" s="31" t="s">
        <v>39</v>
      </c>
      <c r="C54" s="71">
        <v>6</v>
      </c>
      <c r="D54" s="139">
        <f>$C$27*(C54/100)</f>
        <v>60.30709090909091</v>
      </c>
      <c r="E54" s="139"/>
      <c r="F54" s="22"/>
    </row>
    <row r="55" spans="2:6" s="21" customFormat="1" ht="14.25" customHeight="1">
      <c r="B55" s="29" t="s">
        <v>40</v>
      </c>
      <c r="C55" s="30">
        <v>0.6000000000000001</v>
      </c>
      <c r="D55" s="149">
        <f>$C$27*(C55/100)</f>
        <v>6.030709090909092</v>
      </c>
      <c r="E55" s="149"/>
      <c r="F55" s="22"/>
    </row>
    <row r="56" spans="2:6" s="21" customFormat="1" ht="14.25" customHeight="1" thickBot="1">
      <c r="B56" s="33" t="s">
        <v>41</v>
      </c>
      <c r="C56" s="34">
        <f>SUM(C48:C55)</f>
        <v>39.800000000000004</v>
      </c>
      <c r="D56" s="134">
        <f>SUM(D48:E55)</f>
        <v>400.0370363636364</v>
      </c>
      <c r="E56" s="134"/>
      <c r="F56" s="60"/>
    </row>
    <row r="57" spans="2:6" s="21" customFormat="1" ht="14.25" customHeight="1">
      <c r="B57" s="35" t="s">
        <v>42</v>
      </c>
      <c r="C57" s="36"/>
      <c r="D57" s="36"/>
      <c r="E57" s="36"/>
      <c r="F57" s="22"/>
    </row>
    <row r="58" spans="2:8" s="21" customFormat="1" ht="14.25" customHeight="1" thickBot="1">
      <c r="B58" s="37"/>
      <c r="C58" s="36"/>
      <c r="D58" s="36"/>
      <c r="E58" s="36"/>
      <c r="F58" s="22"/>
      <c r="H58" s="61"/>
    </row>
    <row r="59" spans="2:6" s="21" customFormat="1" ht="14.25" customHeight="1" thickBot="1">
      <c r="B59" s="144" t="s">
        <v>43</v>
      </c>
      <c r="C59" s="144"/>
      <c r="D59" s="144"/>
      <c r="E59" s="144"/>
      <c r="F59" s="22"/>
    </row>
    <row r="60" spans="2:6" s="21" customFormat="1" ht="14.25" customHeight="1" thickBot="1">
      <c r="B60" s="25" t="s">
        <v>44</v>
      </c>
      <c r="C60" s="146" t="s">
        <v>7</v>
      </c>
      <c r="D60" s="146"/>
      <c r="E60" s="146"/>
      <c r="F60" s="22"/>
    </row>
    <row r="61" spans="2:6" s="21" customFormat="1" ht="14.25" customHeight="1">
      <c r="B61" s="27" t="s">
        <v>45</v>
      </c>
      <c r="C61" s="142">
        <f>$C$27*0.0833</f>
        <v>83.72634454545455</v>
      </c>
      <c r="D61" s="142"/>
      <c r="E61" s="142"/>
      <c r="F61" s="22"/>
    </row>
    <row r="62" spans="2:6" s="21" customFormat="1" ht="14.25" customHeight="1">
      <c r="B62" s="31" t="s">
        <v>46</v>
      </c>
      <c r="C62" s="139">
        <f>$C$27*0.0278</f>
        <v>27.942285454545452</v>
      </c>
      <c r="D62" s="139"/>
      <c r="E62" s="139"/>
      <c r="F62" s="22"/>
    </row>
    <row r="63" spans="2:6" s="21" customFormat="1" ht="14.25" customHeight="1">
      <c r="B63" s="38" t="s">
        <v>47</v>
      </c>
      <c r="C63" s="148">
        <f>SUM(C61:E62)</f>
        <v>111.66863000000001</v>
      </c>
      <c r="D63" s="148"/>
      <c r="E63" s="148"/>
      <c r="F63" s="22"/>
    </row>
    <row r="64" spans="2:6" s="21" customFormat="1" ht="14.25" customHeight="1">
      <c r="B64" s="31" t="s">
        <v>48</v>
      </c>
      <c r="C64" s="139">
        <f>C63*(C56/100)</f>
        <v>44.44411474</v>
      </c>
      <c r="D64" s="139"/>
      <c r="E64" s="139"/>
      <c r="F64" s="22"/>
    </row>
    <row r="65" spans="2:6" s="21" customFormat="1" ht="14.25" customHeight="1" thickBot="1">
      <c r="B65" s="33" t="s">
        <v>41</v>
      </c>
      <c r="C65" s="134">
        <f>SUM(C63:E64)</f>
        <v>156.11274474</v>
      </c>
      <c r="D65" s="134"/>
      <c r="E65" s="134"/>
      <c r="F65" s="22"/>
    </row>
    <row r="66" spans="2:6" s="21" customFormat="1" ht="14.25" customHeight="1" thickBot="1">
      <c r="B66" s="37"/>
      <c r="C66" s="36"/>
      <c r="D66" s="36"/>
      <c r="E66" s="36"/>
      <c r="F66" s="39"/>
    </row>
    <row r="67" spans="2:6" s="21" customFormat="1" ht="14.25" customHeight="1" thickBot="1">
      <c r="B67" s="144" t="s">
        <v>49</v>
      </c>
      <c r="C67" s="144"/>
      <c r="D67" s="144"/>
      <c r="E67" s="144"/>
      <c r="F67" s="22"/>
    </row>
    <row r="68" spans="2:6" s="21" customFormat="1" ht="14.25" customHeight="1" thickBot="1">
      <c r="B68" s="25" t="s">
        <v>50</v>
      </c>
      <c r="C68" s="146" t="s">
        <v>7</v>
      </c>
      <c r="D68" s="146"/>
      <c r="E68" s="146"/>
      <c r="F68" s="22"/>
    </row>
    <row r="69" spans="2:6" s="21" customFormat="1" ht="14.25" customHeight="1">
      <c r="B69" s="27" t="s">
        <v>51</v>
      </c>
      <c r="C69" s="142">
        <f>(((C61)+(C62)+C35)*4*0.6181*0.0606)/12</f>
        <v>1.6776756541006</v>
      </c>
      <c r="D69" s="142"/>
      <c r="E69" s="142"/>
      <c r="F69" s="22"/>
    </row>
    <row r="70" spans="2:6" s="21" customFormat="1" ht="14.25" customHeight="1">
      <c r="B70" s="31" t="s">
        <v>52</v>
      </c>
      <c r="C70" s="139">
        <f>C69*(C56/100)</f>
        <v>0.6677149103320388</v>
      </c>
      <c r="D70" s="139"/>
      <c r="E70" s="139"/>
      <c r="F70" s="22"/>
    </row>
    <row r="71" spans="2:6" s="21" customFormat="1" ht="14.25" customHeight="1" thickBot="1">
      <c r="B71" s="33" t="s">
        <v>41</v>
      </c>
      <c r="C71" s="147">
        <f>SUM(C69:E70)</f>
        <v>2.3453905644326385</v>
      </c>
      <c r="D71" s="147"/>
      <c r="E71" s="147"/>
      <c r="F71" s="22"/>
    </row>
    <row r="72" spans="2:12" s="21" customFormat="1" ht="14.25" customHeight="1" thickBot="1">
      <c r="B72" s="37"/>
      <c r="C72" s="36"/>
      <c r="D72" s="36"/>
      <c r="E72" s="36"/>
      <c r="F72" s="22"/>
      <c r="L72"/>
    </row>
    <row r="73" spans="2:6" s="21" customFormat="1" ht="14.25" customHeight="1" thickBot="1">
      <c r="B73" s="144" t="s">
        <v>53</v>
      </c>
      <c r="C73" s="144"/>
      <c r="D73" s="144"/>
      <c r="E73" s="144"/>
      <c r="F73" s="22"/>
    </row>
    <row r="74" spans="2:6" s="21" customFormat="1" ht="14.25" customHeight="1" thickBot="1">
      <c r="B74" s="25" t="s">
        <v>54</v>
      </c>
      <c r="C74" s="146" t="s">
        <v>7</v>
      </c>
      <c r="D74" s="146"/>
      <c r="E74" s="146"/>
      <c r="F74" s="22"/>
    </row>
    <row r="75" spans="2:6" s="21" customFormat="1" ht="14.25" customHeight="1">
      <c r="B75" s="27" t="s">
        <v>55</v>
      </c>
      <c r="C75" s="142">
        <f>C27*(0.05*(1/12))</f>
        <v>4.187992424242424</v>
      </c>
      <c r="D75" s="142"/>
      <c r="E75" s="142"/>
      <c r="F75" s="22"/>
    </row>
    <row r="76" spans="2:6" s="21" customFormat="1" ht="14.25" customHeight="1">
      <c r="B76" s="31" t="s">
        <v>56</v>
      </c>
      <c r="C76" s="139">
        <f>C75*(C56/100)</f>
        <v>1.6668209848484847</v>
      </c>
      <c r="D76" s="139"/>
      <c r="E76" s="139"/>
      <c r="F76" s="39"/>
    </row>
    <row r="77" spans="2:6" s="21" customFormat="1" ht="14.25" customHeight="1">
      <c r="B77" s="31" t="s">
        <v>57</v>
      </c>
      <c r="C77" s="139">
        <f>$C$27*(0.08*0.5*0.05)</f>
        <v>2.0102363636363636</v>
      </c>
      <c r="D77" s="139"/>
      <c r="E77" s="139"/>
      <c r="F77" s="22"/>
    </row>
    <row r="78" spans="2:6" s="21" customFormat="1" ht="14.25" customHeight="1">
      <c r="B78" s="31" t="s">
        <v>58</v>
      </c>
      <c r="C78" s="139">
        <f>C27*0.01944</f>
        <v>19.539497454545458</v>
      </c>
      <c r="D78" s="139"/>
      <c r="E78" s="139"/>
      <c r="F78" s="22"/>
    </row>
    <row r="79" spans="2:6" s="21" customFormat="1" ht="14.25" customHeight="1">
      <c r="B79" s="31" t="s">
        <v>59</v>
      </c>
      <c r="C79" s="139">
        <f>C78*(C56/100)</f>
        <v>7.776719986909093</v>
      </c>
      <c r="D79" s="139"/>
      <c r="E79" s="139"/>
      <c r="F79" s="22"/>
    </row>
    <row r="80" spans="2:6" s="40" customFormat="1" ht="15" customHeight="1">
      <c r="B80" s="31" t="s">
        <v>60</v>
      </c>
      <c r="C80" s="139">
        <f>$C$27*(0.08*0.5)</f>
        <v>40.204727272727276</v>
      </c>
      <c r="D80" s="139"/>
      <c r="E80" s="139"/>
      <c r="F80" s="42"/>
    </row>
    <row r="81" spans="2:6" s="21" customFormat="1" ht="15" customHeight="1" thickBot="1">
      <c r="B81" s="33" t="s">
        <v>41</v>
      </c>
      <c r="C81" s="134">
        <f>SUM(C75:E80)</f>
        <v>75.3859944869091</v>
      </c>
      <c r="D81" s="134"/>
      <c r="E81" s="134"/>
      <c r="F81" s="22"/>
    </row>
    <row r="82" spans="2:6" s="21" customFormat="1" ht="15" customHeight="1" thickBot="1">
      <c r="B82" s="37"/>
      <c r="C82" s="36"/>
      <c r="D82" s="36"/>
      <c r="E82" s="36"/>
      <c r="F82" s="22"/>
    </row>
    <row r="83" spans="2:6" s="21" customFormat="1" ht="15" customHeight="1" thickBot="1">
      <c r="B83" s="144" t="s">
        <v>61</v>
      </c>
      <c r="C83" s="144"/>
      <c r="D83" s="144"/>
      <c r="E83" s="144"/>
      <c r="F83" s="22"/>
    </row>
    <row r="84" spans="2:5" s="21" customFormat="1" ht="15" customHeight="1" thickBot="1">
      <c r="B84" s="25" t="s">
        <v>62</v>
      </c>
      <c r="C84" s="145" t="s">
        <v>7</v>
      </c>
      <c r="D84" s="145"/>
      <c r="E84" s="145"/>
    </row>
    <row r="85" spans="2:5" s="21" customFormat="1" ht="15" customHeight="1">
      <c r="B85" s="41" t="s">
        <v>63</v>
      </c>
      <c r="C85" s="142">
        <f>C27*0.0833</f>
        <v>83.72634454545455</v>
      </c>
      <c r="D85" s="142"/>
      <c r="E85" s="142"/>
    </row>
    <row r="86" spans="1:5" s="21" customFormat="1" ht="15" customHeight="1">
      <c r="A86" s="44"/>
      <c r="B86" s="31" t="s">
        <v>64</v>
      </c>
      <c r="C86" s="139">
        <f>C27*0.0166</f>
        <v>16.68496181818182</v>
      </c>
      <c r="D86" s="139"/>
      <c r="E86" s="139"/>
    </row>
    <row r="87" spans="1:5" s="21" customFormat="1" ht="15" customHeight="1">
      <c r="A87" s="44"/>
      <c r="B87" s="31" t="s">
        <v>65</v>
      </c>
      <c r="C87" s="139">
        <f>C27*0.0002</f>
        <v>0.20102363636363638</v>
      </c>
      <c r="D87" s="139"/>
      <c r="E87" s="139"/>
    </row>
    <row r="88" spans="2:5" s="40" customFormat="1" ht="15" customHeight="1">
      <c r="B88" s="31" t="s">
        <v>66</v>
      </c>
      <c r="C88" s="139">
        <f>C27*((2.96/30)/12)</f>
        <v>8.264305050505051</v>
      </c>
      <c r="D88" s="139"/>
      <c r="E88" s="139"/>
    </row>
    <row r="89" spans="2:5" s="40" customFormat="1" ht="15" customHeight="1">
      <c r="B89" s="31" t="s">
        <v>67</v>
      </c>
      <c r="C89" s="139">
        <f>C27*0.0003</f>
        <v>0.3015354545454545</v>
      </c>
      <c r="D89" s="139"/>
      <c r="E89" s="139"/>
    </row>
    <row r="90" spans="2:5" s="40" customFormat="1" ht="15" customHeight="1">
      <c r="B90" s="43" t="s">
        <v>68</v>
      </c>
      <c r="C90" s="139">
        <v>0</v>
      </c>
      <c r="D90" s="139"/>
      <c r="E90" s="139"/>
    </row>
    <row r="91" spans="2:5" s="40" customFormat="1" ht="15" customHeight="1">
      <c r="B91" s="31" t="s">
        <v>69</v>
      </c>
      <c r="C91" s="139">
        <f>SUM(C85:E90)*(C56/100)</f>
        <v>43.45291186101011</v>
      </c>
      <c r="D91" s="139"/>
      <c r="E91" s="139"/>
    </row>
    <row r="92" spans="2:5" s="40" customFormat="1" ht="15" customHeight="1" thickBot="1">
      <c r="B92" s="33" t="s">
        <v>41</v>
      </c>
      <c r="C92" s="134">
        <f>SUM(C85:E91)</f>
        <v>152.63108236606064</v>
      </c>
      <c r="D92" s="134"/>
      <c r="E92" s="134"/>
    </row>
    <row r="93" s="40" customFormat="1" ht="15" customHeight="1" thickBot="1">
      <c r="B93" s="45"/>
    </row>
    <row r="94" spans="2:5" s="40" customFormat="1" ht="15" customHeight="1" thickBot="1">
      <c r="B94" s="143" t="s">
        <v>70</v>
      </c>
      <c r="C94" s="143"/>
      <c r="D94" s="143"/>
      <c r="E94" s="143"/>
    </row>
    <row r="95" spans="2:5" s="40" customFormat="1" ht="15" customHeight="1" thickBot="1">
      <c r="B95" s="46" t="s">
        <v>71</v>
      </c>
      <c r="C95" s="141" t="s">
        <v>7</v>
      </c>
      <c r="D95" s="141"/>
      <c r="E95" s="141"/>
    </row>
    <row r="96" spans="2:5" s="40" customFormat="1" ht="15" customHeight="1">
      <c r="B96" s="41" t="s">
        <v>72</v>
      </c>
      <c r="C96" s="142">
        <f>D56</f>
        <v>400.0370363636364</v>
      </c>
      <c r="D96" s="142"/>
      <c r="E96" s="142"/>
    </row>
    <row r="97" spans="2:6" s="40" customFormat="1" ht="15" customHeight="1">
      <c r="B97" s="47" t="s">
        <v>73</v>
      </c>
      <c r="C97" s="139">
        <f>C65</f>
        <v>156.11274474</v>
      </c>
      <c r="D97" s="139"/>
      <c r="E97" s="139"/>
      <c r="F97" s="49"/>
    </row>
    <row r="98" spans="2:5" s="40" customFormat="1" ht="15" customHeight="1">
      <c r="B98" s="47" t="s">
        <v>74</v>
      </c>
      <c r="C98" s="139">
        <f>C71</f>
        <v>2.3453905644326385</v>
      </c>
      <c r="D98" s="139"/>
      <c r="E98" s="139"/>
    </row>
    <row r="99" spans="2:5" s="40" customFormat="1" ht="15" customHeight="1">
      <c r="B99" s="47" t="s">
        <v>75</v>
      </c>
      <c r="C99" s="139">
        <f>C81</f>
        <v>75.3859944869091</v>
      </c>
      <c r="D99" s="139"/>
      <c r="E99" s="139"/>
    </row>
    <row r="100" spans="2:5" s="40" customFormat="1" ht="15" customHeight="1">
      <c r="B100" s="47" t="s">
        <v>76</v>
      </c>
      <c r="C100" s="139">
        <f>C92</f>
        <v>152.63108236606064</v>
      </c>
      <c r="D100" s="139"/>
      <c r="E100" s="139"/>
    </row>
    <row r="101" spans="2:10" s="40" customFormat="1" ht="15" customHeight="1">
      <c r="B101" s="47" t="s">
        <v>77</v>
      </c>
      <c r="C101" s="139"/>
      <c r="D101" s="139"/>
      <c r="E101" s="139"/>
      <c r="J101" s="72"/>
    </row>
    <row r="102" spans="2:10" s="40" customFormat="1" ht="15" customHeight="1" thickBot="1">
      <c r="B102" s="48" t="s">
        <v>41</v>
      </c>
      <c r="C102" s="134">
        <f>SUM(C96:E101)</f>
        <v>786.5122485210388</v>
      </c>
      <c r="D102" s="134"/>
      <c r="E102" s="134"/>
      <c r="J102" s="61"/>
    </row>
    <row r="103" spans="2:10" s="40" customFormat="1" ht="15" customHeight="1" thickBot="1">
      <c r="B103" s="45"/>
      <c r="J103" s="61"/>
    </row>
    <row r="104" spans="2:5" s="40" customFormat="1" ht="15" customHeight="1" thickBot="1">
      <c r="B104" s="140" t="s">
        <v>78</v>
      </c>
      <c r="C104" s="140"/>
      <c r="D104" s="140"/>
      <c r="E104" s="140"/>
    </row>
    <row r="105" spans="2:5" s="40" customFormat="1" ht="15" customHeight="1" thickBot="1">
      <c r="B105" s="46" t="s">
        <v>79</v>
      </c>
      <c r="C105" s="50" t="s">
        <v>32</v>
      </c>
      <c r="D105" s="141" t="s">
        <v>7</v>
      </c>
      <c r="E105" s="141"/>
    </row>
    <row r="106" spans="2:5" s="40" customFormat="1" ht="15" customHeight="1">
      <c r="B106" s="81" t="s">
        <v>80</v>
      </c>
      <c r="C106" s="82">
        <f>'Custos Indiretos e Lucro'!E3</f>
        <v>0.06</v>
      </c>
      <c r="D106" s="142">
        <f>(C102+C43+C37+C27)*C106</f>
        <v>139.91067361256103</v>
      </c>
      <c r="E106" s="142"/>
    </row>
    <row r="107" spans="2:5" s="40" customFormat="1" ht="15" customHeight="1">
      <c r="B107" s="79" t="s">
        <v>81</v>
      </c>
      <c r="C107" s="83"/>
      <c r="D107" s="139"/>
      <c r="E107" s="139"/>
    </row>
    <row r="108" spans="2:5" s="40" customFormat="1" ht="15" customHeight="1">
      <c r="B108" s="79" t="s">
        <v>82</v>
      </c>
      <c r="C108" s="84">
        <f>7.6+1.65</f>
        <v>9.25</v>
      </c>
      <c r="D108" s="139">
        <f>((C102+C43+C37+C27+D106+D112)/(1-(C108+C110)/100))*(C108/100)</f>
        <v>278.8975832634858</v>
      </c>
      <c r="E108" s="139"/>
    </row>
    <row r="109" spans="2:5" s="40" customFormat="1" ht="15" customHeight="1">
      <c r="B109" s="79" t="s">
        <v>83</v>
      </c>
      <c r="C109" s="83"/>
      <c r="D109" s="139"/>
      <c r="E109" s="139"/>
    </row>
    <row r="110" spans="2:5" s="40" customFormat="1" ht="15" customHeight="1">
      <c r="B110" s="79" t="s">
        <v>153</v>
      </c>
      <c r="C110" s="84">
        <v>5</v>
      </c>
      <c r="D110" s="139">
        <f>((C102+C43+C37+C27+D106+D112)/(1-(C108+C110)/100))*(C110/100)</f>
        <v>150.755450412695</v>
      </c>
      <c r="E110" s="139"/>
    </row>
    <row r="111" spans="2:5" s="40" customFormat="1" ht="15" customHeight="1">
      <c r="B111" s="79" t="s">
        <v>84</v>
      </c>
      <c r="C111" s="83"/>
      <c r="D111" s="139"/>
      <c r="E111" s="139"/>
    </row>
    <row r="112" spans="2:5" s="40" customFormat="1" ht="15" customHeight="1">
      <c r="B112" s="79" t="s">
        <v>85</v>
      </c>
      <c r="C112" s="80">
        <f>'Custos Indiretos e Lucro'!E4</f>
        <v>0.046000000000000006</v>
      </c>
      <c r="D112" s="139">
        <f>(C102+C43+C37+C27+D106)*C112</f>
        <v>113.70074075580794</v>
      </c>
      <c r="E112" s="139"/>
    </row>
    <row r="113" spans="2:5" s="40" customFormat="1" ht="15" customHeight="1" thickBot="1">
      <c r="B113" s="48" t="s">
        <v>41</v>
      </c>
      <c r="C113" s="51">
        <f>SUM(C106:C112)</f>
        <v>14.356</v>
      </c>
      <c r="D113" s="134">
        <f>SUM(D106:E112)</f>
        <v>683.2644480445498</v>
      </c>
      <c r="E113" s="134"/>
    </row>
    <row r="114" s="40" customFormat="1" ht="15" customHeight="1">
      <c r="B114" s="45"/>
    </row>
    <row r="115" spans="2:5" s="40" customFormat="1" ht="15" customHeight="1">
      <c r="B115" s="135" t="s">
        <v>86</v>
      </c>
      <c r="C115" s="135"/>
      <c r="D115" s="135"/>
      <c r="E115" s="135"/>
    </row>
    <row r="116" spans="2:5" s="40" customFormat="1" ht="15" customHeight="1">
      <c r="B116" s="136" t="s">
        <v>87</v>
      </c>
      <c r="C116" s="136"/>
      <c r="D116" s="136"/>
      <c r="E116" s="136"/>
    </row>
    <row r="117" s="40" customFormat="1" ht="15" customHeight="1" thickBot="1">
      <c r="B117" s="45"/>
    </row>
    <row r="118" spans="2:5" s="40" customFormat="1" ht="15" customHeight="1" thickBot="1">
      <c r="B118" s="69" t="s">
        <v>88</v>
      </c>
      <c r="C118" s="137" t="s">
        <v>7</v>
      </c>
      <c r="D118" s="137"/>
      <c r="E118" s="137"/>
    </row>
    <row r="119" spans="2:5" s="40" customFormat="1" ht="15" customHeight="1">
      <c r="B119" s="41" t="s">
        <v>89</v>
      </c>
      <c r="C119" s="138">
        <f>C27</f>
        <v>1005.1181818181818</v>
      </c>
      <c r="D119" s="138"/>
      <c r="E119" s="138"/>
    </row>
    <row r="120" spans="2:5" s="40" customFormat="1" ht="15" customHeight="1">
      <c r="B120" s="47" t="s">
        <v>90</v>
      </c>
      <c r="C120" s="130">
        <f>C37</f>
        <v>461.30412987012994</v>
      </c>
      <c r="D120" s="130"/>
      <c r="E120" s="130"/>
    </row>
    <row r="121" spans="2:5" s="40" customFormat="1" ht="15" customHeight="1">
      <c r="B121" s="47" t="s">
        <v>91</v>
      </c>
      <c r="C121" s="130">
        <f>C43</f>
        <v>78.91</v>
      </c>
      <c r="D121" s="130"/>
      <c r="E121" s="130"/>
    </row>
    <row r="122" spans="2:5" s="40" customFormat="1" ht="15" customHeight="1">
      <c r="B122" s="47" t="s">
        <v>92</v>
      </c>
      <c r="C122" s="130">
        <f>C102</f>
        <v>786.5122485210388</v>
      </c>
      <c r="D122" s="130"/>
      <c r="E122" s="130"/>
    </row>
    <row r="123" spans="2:5" s="40" customFormat="1" ht="15" customHeight="1">
      <c r="B123" s="52" t="s">
        <v>93</v>
      </c>
      <c r="C123" s="131">
        <f>SUM(C119:E122)</f>
        <v>2331.8445602093507</v>
      </c>
      <c r="D123" s="131"/>
      <c r="E123" s="131"/>
    </row>
    <row r="124" spans="2:5" s="40" customFormat="1" ht="15" customHeight="1">
      <c r="B124" s="47" t="s">
        <v>94</v>
      </c>
      <c r="C124" s="130">
        <f>D113</f>
        <v>683.2644480445498</v>
      </c>
      <c r="D124" s="130"/>
      <c r="E124" s="130"/>
    </row>
    <row r="125" spans="2:5" ht="13.5" thickBot="1">
      <c r="B125" s="48" t="s">
        <v>95</v>
      </c>
      <c r="C125" s="132">
        <f>SUM(C123:E124)</f>
        <v>3015.1090082539004</v>
      </c>
      <c r="D125" s="132"/>
      <c r="E125" s="132"/>
    </row>
    <row r="126" spans="2:5" ht="13.5" thickBot="1">
      <c r="B126" s="53" t="s">
        <v>96</v>
      </c>
      <c r="C126" s="133">
        <f>C125/C27</f>
        <v>2.9997557131041037</v>
      </c>
      <c r="D126" s="133"/>
      <c r="E126" s="133"/>
    </row>
    <row r="127" spans="2:5" ht="15.75">
      <c r="B127" s="45"/>
      <c r="C127" s="40"/>
      <c r="D127" s="40"/>
      <c r="E127" s="40"/>
    </row>
  </sheetData>
  <sheetProtection selectLockedCells="1" selectUnlockedCells="1"/>
  <mergeCells count="113">
    <mergeCell ref="C122:E122"/>
    <mergeCell ref="C123:E123"/>
    <mergeCell ref="C124:E124"/>
    <mergeCell ref="C125:E125"/>
    <mergeCell ref="C126:E126"/>
    <mergeCell ref="B115:E115"/>
    <mergeCell ref="B116:E116"/>
    <mergeCell ref="C118:E118"/>
    <mergeCell ref="C119:E119"/>
    <mergeCell ref="C120:E120"/>
    <mergeCell ref="C121:E121"/>
    <mergeCell ref="D108:E108"/>
    <mergeCell ref="D109:E109"/>
    <mergeCell ref="D110:E110"/>
    <mergeCell ref="D111:E111"/>
    <mergeCell ref="D112:E112"/>
    <mergeCell ref="D113:E113"/>
    <mergeCell ref="C101:E101"/>
    <mergeCell ref="C102:E102"/>
    <mergeCell ref="B104:E104"/>
    <mergeCell ref="D105:E105"/>
    <mergeCell ref="D106:E106"/>
    <mergeCell ref="D107:E107"/>
    <mergeCell ref="C95:E95"/>
    <mergeCell ref="C96:E96"/>
    <mergeCell ref="C97:E97"/>
    <mergeCell ref="C98:E98"/>
    <mergeCell ref="C99:E99"/>
    <mergeCell ref="C100:E100"/>
    <mergeCell ref="C88:E88"/>
    <mergeCell ref="C89:E89"/>
    <mergeCell ref="C90:E90"/>
    <mergeCell ref="C91:E91"/>
    <mergeCell ref="C92:E92"/>
    <mergeCell ref="B94:E94"/>
    <mergeCell ref="C81:E81"/>
    <mergeCell ref="B83:E83"/>
    <mergeCell ref="C84:E84"/>
    <mergeCell ref="C85:E85"/>
    <mergeCell ref="C86:E86"/>
    <mergeCell ref="C87:E87"/>
    <mergeCell ref="C75:E75"/>
    <mergeCell ref="C76:E76"/>
    <mergeCell ref="C77:E77"/>
    <mergeCell ref="C78:E78"/>
    <mergeCell ref="C79:E79"/>
    <mergeCell ref="C80:E80"/>
    <mergeCell ref="C68:E68"/>
    <mergeCell ref="C69:E69"/>
    <mergeCell ref="C70:E70"/>
    <mergeCell ref="C71:E71"/>
    <mergeCell ref="B73:E73"/>
    <mergeCell ref="C74:E74"/>
    <mergeCell ref="C61:E61"/>
    <mergeCell ref="C62:E62"/>
    <mergeCell ref="C63:E63"/>
    <mergeCell ref="C64:E64"/>
    <mergeCell ref="C65:E65"/>
    <mergeCell ref="B67:E67"/>
    <mergeCell ref="D53:E53"/>
    <mergeCell ref="D54:E54"/>
    <mergeCell ref="D55:E55"/>
    <mergeCell ref="D56:E56"/>
    <mergeCell ref="B59:E59"/>
    <mergeCell ref="C60:E60"/>
    <mergeCell ref="D47:E47"/>
    <mergeCell ref="D48:E48"/>
    <mergeCell ref="D49:E49"/>
    <mergeCell ref="D50:E50"/>
    <mergeCell ref="D51:E51"/>
    <mergeCell ref="D52:E52"/>
    <mergeCell ref="C41:E41"/>
    <mergeCell ref="C42:E42"/>
    <mergeCell ref="C43:E43"/>
    <mergeCell ref="B44:E44"/>
    <mergeCell ref="B45:E45"/>
    <mergeCell ref="B46:E46"/>
    <mergeCell ref="C35:E35"/>
    <mergeCell ref="C36:E36"/>
    <mergeCell ref="C37:E37"/>
    <mergeCell ref="B38:E38"/>
    <mergeCell ref="B39:E39"/>
    <mergeCell ref="C40:E40"/>
    <mergeCell ref="B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B28:E28"/>
    <mergeCell ref="B17:E17"/>
    <mergeCell ref="C18:E18"/>
    <mergeCell ref="C19:E19"/>
    <mergeCell ref="C20:E20"/>
    <mergeCell ref="C21:E21"/>
    <mergeCell ref="C22:E22"/>
    <mergeCell ref="B9:E9"/>
    <mergeCell ref="C10:E10"/>
    <mergeCell ref="C11:E11"/>
    <mergeCell ref="C12:E12"/>
    <mergeCell ref="C13:E13"/>
    <mergeCell ref="C14:E14"/>
    <mergeCell ref="B1:E1"/>
    <mergeCell ref="C3:E3"/>
    <mergeCell ref="C5:E5"/>
    <mergeCell ref="C6:E6"/>
    <mergeCell ref="C7:E7"/>
    <mergeCell ref="C8:E8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72" r:id="rId3"/>
  <headerFooter alignWithMargins="0">
    <oddHeader>&amp;C&amp;"Times New Roman,Normal"&amp;12&amp;A</oddHeader>
    <oddFooter>&amp;C&amp;"Times New Roman,Normal"&amp;12Página &amp;P</oddFooter>
  </headerFooter>
  <colBreaks count="1" manualBreakCount="1">
    <brk id="5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F22" sqref="F22"/>
    </sheetView>
  </sheetViews>
  <sheetFormatPr defaultColWidth="9.28125" defaultRowHeight="12.75"/>
  <cols>
    <col min="1" max="1" width="15.140625" style="0" customWidth="1"/>
    <col min="2" max="2" width="12.140625" style="0" customWidth="1"/>
    <col min="3" max="3" width="13.28125" style="0" customWidth="1"/>
    <col min="4" max="4" width="39.7109375" style="0" customWidth="1"/>
    <col min="5" max="5" width="33.421875" style="0" customWidth="1"/>
    <col min="6" max="6" width="33.57421875" style="0" customWidth="1"/>
    <col min="7" max="7" width="15.57421875" style="0" customWidth="1"/>
  </cols>
  <sheetData>
    <row r="1" spans="1:8" ht="12.75">
      <c r="A1" s="191" t="s">
        <v>145</v>
      </c>
      <c r="B1" s="191"/>
      <c r="C1" s="191"/>
      <c r="D1" s="191"/>
      <c r="E1" s="191"/>
      <c r="F1" s="191"/>
      <c r="G1" s="191"/>
      <c r="H1" s="191"/>
    </row>
    <row r="2" spans="1:8" ht="25.5">
      <c r="A2" s="192"/>
      <c r="B2" s="192"/>
      <c r="C2" s="193"/>
      <c r="D2" s="118" t="s">
        <v>130</v>
      </c>
      <c r="E2" s="119" t="s">
        <v>146</v>
      </c>
      <c r="F2" s="118" t="s">
        <v>147</v>
      </c>
      <c r="G2" s="194"/>
      <c r="H2" s="194"/>
    </row>
    <row r="3" spans="1:8" ht="25.5">
      <c r="A3" s="54" t="s">
        <v>100</v>
      </c>
      <c r="B3" s="54" t="s">
        <v>101</v>
      </c>
      <c r="C3" s="54" t="s">
        <v>102</v>
      </c>
      <c r="D3" s="63" t="s">
        <v>97</v>
      </c>
      <c r="E3" s="114" t="s">
        <v>97</v>
      </c>
      <c r="F3" s="67" t="s">
        <v>97</v>
      </c>
      <c r="G3" s="120" t="s">
        <v>104</v>
      </c>
      <c r="H3" s="109" t="s">
        <v>98</v>
      </c>
    </row>
    <row r="4" spans="1:8" s="58" customFormat="1" ht="22.5" customHeight="1">
      <c r="A4" s="55" t="s">
        <v>135</v>
      </c>
      <c r="B4" s="56">
        <v>2</v>
      </c>
      <c r="C4" s="62" t="s">
        <v>99</v>
      </c>
      <c r="D4" s="66">
        <v>59.9</v>
      </c>
      <c r="E4" s="115"/>
      <c r="F4" s="117"/>
      <c r="G4" s="116">
        <f aca="true" t="shared" si="0" ref="G4:G10">AVERAGE(D4:E4)</f>
        <v>59.9</v>
      </c>
      <c r="H4" s="57">
        <f aca="true" t="shared" si="1" ref="H4:H10">B4*G4</f>
        <v>119.8</v>
      </c>
    </row>
    <row r="5" spans="1:8" s="58" customFormat="1" ht="21" customHeight="1">
      <c r="A5" s="55" t="s">
        <v>136</v>
      </c>
      <c r="B5" s="56">
        <v>2</v>
      </c>
      <c r="C5" s="62" t="s">
        <v>99</v>
      </c>
      <c r="D5" s="66">
        <v>51.5</v>
      </c>
      <c r="E5" s="115"/>
      <c r="F5" s="117"/>
      <c r="G5" s="116">
        <f t="shared" si="0"/>
        <v>51.5</v>
      </c>
      <c r="H5" s="57">
        <f t="shared" si="1"/>
        <v>103</v>
      </c>
    </row>
    <row r="6" spans="1:8" s="58" customFormat="1" ht="19.5" customHeight="1">
      <c r="A6" s="55" t="s">
        <v>137</v>
      </c>
      <c r="B6" s="56">
        <v>2</v>
      </c>
      <c r="C6" s="62" t="s">
        <v>99</v>
      </c>
      <c r="D6" s="66">
        <v>44.9</v>
      </c>
      <c r="E6" s="115"/>
      <c r="F6" s="117"/>
      <c r="G6" s="116">
        <f t="shared" si="0"/>
        <v>44.9</v>
      </c>
      <c r="H6" s="57">
        <f t="shared" si="1"/>
        <v>89.8</v>
      </c>
    </row>
    <row r="7" spans="1:8" s="58" customFormat="1" ht="21" customHeight="1">
      <c r="A7" s="55" t="s">
        <v>138</v>
      </c>
      <c r="B7" s="56">
        <v>2</v>
      </c>
      <c r="C7" s="62" t="s">
        <v>99</v>
      </c>
      <c r="D7" s="66">
        <v>36</v>
      </c>
      <c r="E7" s="115"/>
      <c r="F7" s="117"/>
      <c r="G7" s="116">
        <f t="shared" si="0"/>
        <v>36</v>
      </c>
      <c r="H7" s="57">
        <f t="shared" si="1"/>
        <v>72</v>
      </c>
    </row>
    <row r="8" spans="1:8" s="58" customFormat="1" ht="12.75">
      <c r="A8" s="55" t="s">
        <v>139</v>
      </c>
      <c r="B8" s="56">
        <v>2</v>
      </c>
      <c r="C8" s="62" t="s">
        <v>99</v>
      </c>
      <c r="D8" s="66"/>
      <c r="E8" s="115">
        <v>16</v>
      </c>
      <c r="F8" s="117"/>
      <c r="G8" s="116">
        <f t="shared" si="0"/>
        <v>16</v>
      </c>
      <c r="H8" s="57">
        <f t="shared" si="1"/>
        <v>32</v>
      </c>
    </row>
    <row r="9" spans="1:8" s="58" customFormat="1" ht="24" customHeight="1">
      <c r="A9" s="55" t="s">
        <v>140</v>
      </c>
      <c r="B9" s="56">
        <v>2</v>
      </c>
      <c r="C9" s="62" t="s">
        <v>144</v>
      </c>
      <c r="D9" s="66"/>
      <c r="E9" s="115"/>
      <c r="F9" s="117">
        <v>8.98</v>
      </c>
      <c r="G9" s="116">
        <f>AVERAGE(D9:F9)</f>
        <v>8.98</v>
      </c>
      <c r="H9" s="57">
        <f t="shared" si="1"/>
        <v>17.96</v>
      </c>
    </row>
    <row r="10" spans="1:8" s="58" customFormat="1" ht="19.5" customHeight="1">
      <c r="A10" s="55" t="s">
        <v>141</v>
      </c>
      <c r="B10" s="56">
        <v>1</v>
      </c>
      <c r="C10" s="62" t="s">
        <v>144</v>
      </c>
      <c r="D10" s="66">
        <v>38.9</v>
      </c>
      <c r="E10" s="115"/>
      <c r="F10" s="117"/>
      <c r="G10" s="116">
        <f t="shared" si="0"/>
        <v>38.9</v>
      </c>
      <c r="H10" s="57">
        <f t="shared" si="1"/>
        <v>38.9</v>
      </c>
    </row>
    <row r="11" spans="1:8" s="58" customFormat="1" ht="21" customHeight="1">
      <c r="A11" s="184" t="s">
        <v>142</v>
      </c>
      <c r="B11" s="185"/>
      <c r="C11" s="185"/>
      <c r="D11" s="185"/>
      <c r="E11" s="185"/>
      <c r="F11" s="186"/>
      <c r="G11" s="187"/>
      <c r="H11" s="57">
        <f>SUM(H4:H10)</f>
        <v>473.46</v>
      </c>
    </row>
    <row r="12" spans="1:8" ht="21.75" customHeight="1">
      <c r="A12" s="188" t="s">
        <v>143</v>
      </c>
      <c r="B12" s="189"/>
      <c r="C12" s="189"/>
      <c r="D12" s="189"/>
      <c r="E12" s="189"/>
      <c r="F12" s="189"/>
      <c r="G12" s="190"/>
      <c r="H12" s="59">
        <f>H11/6</f>
        <v>78.91</v>
      </c>
    </row>
  </sheetData>
  <sheetProtection selectLockedCells="1" selectUnlockedCells="1"/>
  <mergeCells count="5">
    <mergeCell ref="A11:G11"/>
    <mergeCell ref="A12:G12"/>
    <mergeCell ref="A1:H1"/>
    <mergeCell ref="A2:C2"/>
    <mergeCell ref="G2:H2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scale="75" r:id="rId1"/>
  <ignoredErrors>
    <ignoredError sqref="G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8.00390625" style="0" customWidth="1"/>
    <col min="2" max="2" width="13.57421875" style="0" customWidth="1"/>
    <col min="4" max="6" width="16.7109375" style="0" bestFit="1" customWidth="1"/>
    <col min="7" max="7" width="14.8515625" style="0" customWidth="1"/>
  </cols>
  <sheetData>
    <row r="1" spans="1:8" ht="12.75">
      <c r="A1" s="191" t="s">
        <v>166</v>
      </c>
      <c r="B1" s="191"/>
      <c r="C1" s="191"/>
      <c r="D1" s="191"/>
      <c r="E1" s="191"/>
      <c r="F1" s="191"/>
      <c r="G1" s="191"/>
      <c r="H1" s="191"/>
    </row>
    <row r="2" spans="1:8" ht="25.5">
      <c r="A2" s="194"/>
      <c r="B2" s="194"/>
      <c r="C2" s="194"/>
      <c r="D2" s="64" t="s">
        <v>108</v>
      </c>
      <c r="E2" s="64" t="s">
        <v>127</v>
      </c>
      <c r="F2" s="64" t="s">
        <v>128</v>
      </c>
      <c r="G2" s="194"/>
      <c r="H2" s="194"/>
    </row>
    <row r="3" spans="1:8" ht="51">
      <c r="A3" s="110" t="s">
        <v>100</v>
      </c>
      <c r="B3" s="110" t="s">
        <v>103</v>
      </c>
      <c r="C3" s="110" t="s">
        <v>102</v>
      </c>
      <c r="D3" s="63" t="s">
        <v>109</v>
      </c>
      <c r="E3" s="63" t="s">
        <v>109</v>
      </c>
      <c r="F3" s="63" t="s">
        <v>109</v>
      </c>
      <c r="G3" s="63" t="s">
        <v>104</v>
      </c>
      <c r="H3" s="63" t="s">
        <v>105</v>
      </c>
    </row>
    <row r="4" spans="1:8" ht="12.75">
      <c r="A4" s="55" t="s">
        <v>106</v>
      </c>
      <c r="B4" s="56">
        <v>1</v>
      </c>
      <c r="C4" s="62" t="s">
        <v>99</v>
      </c>
      <c r="D4" s="57">
        <v>549.9</v>
      </c>
      <c r="E4" s="121">
        <v>419.8</v>
      </c>
      <c r="F4" s="123">
        <v>507.03</v>
      </c>
      <c r="G4" s="122">
        <f>AVERAGE(D4:F4)</f>
        <v>492.24333333333334</v>
      </c>
      <c r="H4" s="65">
        <f>G4*B4</f>
        <v>492.24333333333334</v>
      </c>
    </row>
  </sheetData>
  <sheetProtection/>
  <mergeCells count="3">
    <mergeCell ref="A1:H1"/>
    <mergeCell ref="A2:C2"/>
    <mergeCell ref="G2:H2"/>
  </mergeCells>
  <printOptions/>
  <pageMargins left="0.511811024" right="0.511811024" top="0.787401575" bottom="0.787401575" header="0.31496062" footer="0.3149606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Fabrício Geraldo dos Santos Rodrigues</dc:creator>
  <cp:keywords/>
  <dc:description/>
  <cp:lastModifiedBy>Fabrício Geraldo dos Santos Rodrigues</cp:lastModifiedBy>
  <cp:lastPrinted>2017-10-23T19:55:16Z</cp:lastPrinted>
  <dcterms:created xsi:type="dcterms:W3CDTF">2016-07-26T18:45:33Z</dcterms:created>
  <dcterms:modified xsi:type="dcterms:W3CDTF">2017-11-24T21:16:06Z</dcterms:modified>
  <cp:category/>
  <cp:version/>
  <cp:contentType/>
  <cp:contentStatus/>
</cp:coreProperties>
</file>